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ofx003\Documents\Clinical Resources and Tools\Tracking Tool\"/>
    </mc:Choice>
  </mc:AlternateContent>
  <bookViews>
    <workbookView xWindow="0" yWindow="0" windowWidth="28800" windowHeight="11870"/>
  </bookViews>
  <sheets>
    <sheet name="Background" sheetId="5" r:id="rId1"/>
    <sheet name="Dataset Dictionary" sheetId="4" state="hidden" r:id="rId2"/>
    <sheet name="Total Patients" sheetId="8" r:id="rId3"/>
    <sheet name="Summary Tables" sheetId="3" r:id="rId4"/>
    <sheet name="Calculations" sheetId="2" state="hidden" r:id="rId5"/>
    <sheet name="January" sheetId="12" r:id="rId6"/>
    <sheet name="February" sheetId="13" r:id="rId7"/>
    <sheet name="March" sheetId="14" r:id="rId8"/>
    <sheet name="April" sheetId="15" r:id="rId9"/>
    <sheet name="May" sheetId="16" r:id="rId10"/>
    <sheet name="June" sheetId="17" r:id="rId11"/>
    <sheet name="July" sheetId="18" r:id="rId12"/>
    <sheet name="August" sheetId="19" r:id="rId13"/>
    <sheet name="September" sheetId="20" r:id="rId14"/>
    <sheet name="October" sheetId="21" r:id="rId15"/>
    <sheet name="November" sheetId="22" r:id="rId16"/>
    <sheet name="December" sheetId="23" r:id="rId17"/>
    <sheet name="Data Options" sheetId="10" r:id="rId1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5" i="2" l="1"/>
  <c r="M184" i="2"/>
  <c r="M183" i="2"/>
  <c r="M182" i="2"/>
  <c r="M181" i="2"/>
  <c r="M180" i="2"/>
  <c r="L185" i="2"/>
  <c r="L184" i="2"/>
  <c r="L183" i="2"/>
  <c r="L182" i="2"/>
  <c r="L181" i="2"/>
  <c r="L180" i="2"/>
  <c r="K185" i="2"/>
  <c r="K184" i="2"/>
  <c r="K183" i="2"/>
  <c r="K182" i="2"/>
  <c r="K181" i="2"/>
  <c r="K180" i="2"/>
  <c r="J185" i="2"/>
  <c r="J184" i="2"/>
  <c r="J183" i="2"/>
  <c r="J182" i="2"/>
  <c r="J181" i="2"/>
  <c r="J180" i="2"/>
  <c r="I185" i="2"/>
  <c r="I184" i="2"/>
  <c r="I183" i="2"/>
  <c r="I182" i="2"/>
  <c r="I181" i="2"/>
  <c r="I180" i="2"/>
  <c r="H185" i="2"/>
  <c r="H184" i="2"/>
  <c r="H183" i="2"/>
  <c r="H182" i="2"/>
  <c r="H181" i="2"/>
  <c r="H180" i="2"/>
  <c r="G185" i="2"/>
  <c r="G184" i="2"/>
  <c r="G183" i="2"/>
  <c r="G182" i="2"/>
  <c r="G181" i="2"/>
  <c r="G180" i="2"/>
  <c r="F185" i="2"/>
  <c r="F184" i="2"/>
  <c r="F183" i="2"/>
  <c r="F182" i="2"/>
  <c r="F181" i="2"/>
  <c r="F180" i="2"/>
  <c r="E185" i="2"/>
  <c r="E184" i="2"/>
  <c r="E183" i="2"/>
  <c r="E182" i="2"/>
  <c r="E181" i="2"/>
  <c r="E180" i="2"/>
  <c r="D185" i="2"/>
  <c r="D184" i="2"/>
  <c r="D183" i="2"/>
  <c r="D182" i="2"/>
  <c r="D181" i="2"/>
  <c r="D180" i="2"/>
  <c r="C185" i="2"/>
  <c r="C184" i="2"/>
  <c r="C183" i="2"/>
  <c r="C182" i="2"/>
  <c r="C181" i="2"/>
  <c r="C180" i="2"/>
  <c r="B185" i="2"/>
  <c r="B184" i="2"/>
  <c r="B183" i="2"/>
  <c r="B182" i="2"/>
  <c r="B181" i="2"/>
  <c r="B180" i="2"/>
  <c r="B171" i="2"/>
  <c r="M23" i="2"/>
  <c r="L23" i="2"/>
  <c r="K23" i="2"/>
  <c r="J23" i="2"/>
  <c r="I23" i="2"/>
  <c r="H23" i="2"/>
  <c r="G23" i="2"/>
  <c r="F23" i="2"/>
  <c r="E23" i="2"/>
  <c r="D23" i="2"/>
  <c r="C23" i="2"/>
  <c r="B23" i="2"/>
  <c r="N23" i="2" l="1"/>
  <c r="O185" i="2"/>
  <c r="O184" i="2"/>
  <c r="O183" i="2"/>
  <c r="O182" i="2"/>
  <c r="O181" i="2"/>
  <c r="O180" i="2"/>
  <c r="M176" i="2"/>
  <c r="M175" i="2"/>
  <c r="M174" i="2"/>
  <c r="M173" i="2"/>
  <c r="M172" i="2"/>
  <c r="L176" i="2"/>
  <c r="L175" i="2"/>
  <c r="L174" i="2"/>
  <c r="L173" i="2"/>
  <c r="L172" i="2"/>
  <c r="K176" i="2"/>
  <c r="K175" i="2"/>
  <c r="K174" i="2"/>
  <c r="K173" i="2"/>
  <c r="K172" i="2"/>
  <c r="J176" i="2"/>
  <c r="J175" i="2"/>
  <c r="J174" i="2"/>
  <c r="J173" i="2"/>
  <c r="J172" i="2"/>
  <c r="I176" i="2"/>
  <c r="I175" i="2"/>
  <c r="I174" i="2"/>
  <c r="I173" i="2"/>
  <c r="I172" i="2"/>
  <c r="H176" i="2"/>
  <c r="H175" i="2"/>
  <c r="H174" i="2"/>
  <c r="H173" i="2"/>
  <c r="H172" i="2"/>
  <c r="G176" i="2"/>
  <c r="G175" i="2"/>
  <c r="G174" i="2"/>
  <c r="G173" i="2"/>
  <c r="G172" i="2"/>
  <c r="F176" i="2"/>
  <c r="F175" i="2"/>
  <c r="F174" i="2"/>
  <c r="F173" i="2"/>
  <c r="F172" i="2"/>
  <c r="E176" i="2"/>
  <c r="E175" i="2"/>
  <c r="E174" i="2"/>
  <c r="E173" i="2"/>
  <c r="E172" i="2"/>
  <c r="D176" i="2"/>
  <c r="D174" i="2"/>
  <c r="D173" i="2"/>
  <c r="D172" i="2"/>
  <c r="C176" i="2"/>
  <c r="C175" i="2"/>
  <c r="C174" i="2"/>
  <c r="C173" i="2"/>
  <c r="C172" i="2"/>
  <c r="B176" i="2"/>
  <c r="B175" i="2"/>
  <c r="B174" i="2"/>
  <c r="B173" i="2"/>
  <c r="B172" i="2"/>
  <c r="D175" i="2"/>
  <c r="M171" i="2"/>
  <c r="L171" i="2"/>
  <c r="K171" i="2"/>
  <c r="J171" i="2"/>
  <c r="I171" i="2"/>
  <c r="H171" i="2"/>
  <c r="G171" i="2"/>
  <c r="F171" i="2"/>
  <c r="E171" i="2"/>
  <c r="D171" i="2"/>
  <c r="C171" i="2"/>
  <c r="B161" i="2"/>
  <c r="O171" i="2" l="1"/>
  <c r="O176" i="2"/>
  <c r="O175" i="2"/>
  <c r="O174" i="2"/>
  <c r="O173" i="2"/>
  <c r="O172" i="2"/>
  <c r="M164" i="2"/>
  <c r="M163" i="2"/>
  <c r="M162" i="2"/>
  <c r="M161" i="2"/>
  <c r="L164" i="2"/>
  <c r="L163" i="2"/>
  <c r="L162" i="2"/>
  <c r="L161" i="2"/>
  <c r="K164" i="2"/>
  <c r="K163" i="2"/>
  <c r="K162" i="2"/>
  <c r="K161" i="2"/>
  <c r="J164" i="2"/>
  <c r="J163" i="2"/>
  <c r="J162" i="2"/>
  <c r="J161" i="2"/>
  <c r="I164" i="2"/>
  <c r="I163" i="2"/>
  <c r="I162" i="2"/>
  <c r="I161" i="2"/>
  <c r="H164" i="2"/>
  <c r="H163" i="2"/>
  <c r="H162" i="2"/>
  <c r="H161" i="2"/>
  <c r="G164" i="2"/>
  <c r="G163" i="2"/>
  <c r="G162" i="2"/>
  <c r="G161" i="2"/>
  <c r="F164" i="2"/>
  <c r="F163" i="2"/>
  <c r="F162" i="2"/>
  <c r="F161" i="2"/>
  <c r="E164" i="2"/>
  <c r="E163" i="2"/>
  <c r="E162" i="2"/>
  <c r="E161" i="2"/>
  <c r="D164" i="2"/>
  <c r="D163" i="2"/>
  <c r="D162" i="2"/>
  <c r="D161" i="2"/>
  <c r="C164" i="2"/>
  <c r="C163" i="2"/>
  <c r="C162" i="2"/>
  <c r="C161" i="2"/>
  <c r="B164" i="2"/>
  <c r="B163" i="2"/>
  <c r="B162" i="2"/>
  <c r="B154" i="2"/>
  <c r="M155" i="2"/>
  <c r="M154" i="2"/>
  <c r="L155" i="2"/>
  <c r="L154" i="2"/>
  <c r="K155" i="2"/>
  <c r="K154" i="2"/>
  <c r="J155" i="2"/>
  <c r="J154" i="2"/>
  <c r="I155" i="2"/>
  <c r="I154" i="2"/>
  <c r="H155" i="2"/>
  <c r="H154" i="2"/>
  <c r="G155" i="2"/>
  <c r="G154" i="2"/>
  <c r="F155" i="2"/>
  <c r="F154" i="2"/>
  <c r="E155" i="2"/>
  <c r="E154" i="2"/>
  <c r="D155" i="2"/>
  <c r="D154" i="2"/>
  <c r="C155" i="2"/>
  <c r="C154" i="2"/>
  <c r="B155" i="2"/>
  <c r="M26" i="2"/>
  <c r="M25" i="2"/>
  <c r="L26" i="2"/>
  <c r="L25" i="2"/>
  <c r="K26" i="2"/>
  <c r="K25" i="2"/>
  <c r="J26" i="2"/>
  <c r="J25" i="2"/>
  <c r="I26" i="2"/>
  <c r="I25" i="2"/>
  <c r="H26" i="2"/>
  <c r="H25" i="2"/>
  <c r="G26" i="2"/>
  <c r="G25" i="2"/>
  <c r="F26" i="2"/>
  <c r="F25" i="2"/>
  <c r="E26" i="2"/>
  <c r="E25" i="2"/>
  <c r="D26" i="2"/>
  <c r="D25" i="2"/>
  <c r="C26" i="2"/>
  <c r="C25" i="2"/>
  <c r="B26" i="2"/>
  <c r="B25" i="2"/>
  <c r="BG4" i="23"/>
  <c r="BG5" i="23"/>
  <c r="BG6" i="23"/>
  <c r="BG7" i="23"/>
  <c r="BG8" i="23"/>
  <c r="BG9" i="23"/>
  <c r="BG10" i="23"/>
  <c r="BG11" i="23"/>
  <c r="BG12" i="23"/>
  <c r="BG13" i="23"/>
  <c r="BG14" i="23"/>
  <c r="BG15" i="23"/>
  <c r="BG16" i="23"/>
  <c r="BG17" i="23"/>
  <c r="BG18" i="23"/>
  <c r="BG19" i="23"/>
  <c r="BG20" i="23"/>
  <c r="BG21" i="23"/>
  <c r="BG22" i="23"/>
  <c r="BG23" i="23"/>
  <c r="BG24" i="23"/>
  <c r="BG25" i="23"/>
  <c r="BG26" i="23"/>
  <c r="BG27" i="23"/>
  <c r="BG28" i="23"/>
  <c r="BG29" i="23"/>
  <c r="BG30" i="23"/>
  <c r="BG31" i="23"/>
  <c r="BG32" i="23"/>
  <c r="BG33" i="23"/>
  <c r="BG34" i="23"/>
  <c r="BG35" i="23"/>
  <c r="BG36" i="23"/>
  <c r="BG37" i="23"/>
  <c r="BG38" i="23"/>
  <c r="BG39" i="23"/>
  <c r="BG40" i="23"/>
  <c r="BG41" i="23"/>
  <c r="BG42" i="23"/>
  <c r="BG43" i="23"/>
  <c r="BG44" i="23"/>
  <c r="BG45" i="23"/>
  <c r="BG46" i="23"/>
  <c r="BG47" i="23"/>
  <c r="BG48" i="23"/>
  <c r="BG49" i="23"/>
  <c r="BG50" i="23"/>
  <c r="BG51" i="23"/>
  <c r="BG52" i="23"/>
  <c r="BG53" i="23"/>
  <c r="BG54" i="23"/>
  <c r="BG55" i="23"/>
  <c r="BG56" i="23"/>
  <c r="BG57" i="23"/>
  <c r="BG58" i="23"/>
  <c r="BG59" i="23"/>
  <c r="BG60" i="23"/>
  <c r="BG61" i="23"/>
  <c r="BG62" i="23"/>
  <c r="BG63" i="23"/>
  <c r="BG64" i="23"/>
  <c r="BG65" i="23"/>
  <c r="BG66" i="23"/>
  <c r="BG67" i="23"/>
  <c r="BG68" i="23"/>
  <c r="BG69" i="23"/>
  <c r="BG70" i="23"/>
  <c r="BG71" i="23"/>
  <c r="BG72" i="23"/>
  <c r="BG73" i="23"/>
  <c r="BG74" i="23"/>
  <c r="BG75" i="23"/>
  <c r="BG76" i="23"/>
  <c r="BG77" i="23"/>
  <c r="BG78" i="23"/>
  <c r="BG79" i="23"/>
  <c r="BG80" i="23"/>
  <c r="BG81" i="23"/>
  <c r="BG82" i="23"/>
  <c r="BG83" i="23"/>
  <c r="BG84" i="23"/>
  <c r="BG85" i="23"/>
  <c r="BG86" i="23"/>
  <c r="BG87" i="23"/>
  <c r="BG88" i="23"/>
  <c r="BG89" i="23"/>
  <c r="BG90" i="23"/>
  <c r="BG91" i="23"/>
  <c r="BG92" i="23"/>
  <c r="BG93" i="23"/>
  <c r="BG94" i="23"/>
  <c r="BG95" i="23"/>
  <c r="BG96" i="23"/>
  <c r="BG97" i="23"/>
  <c r="BG98" i="23"/>
  <c r="BG99" i="23"/>
  <c r="BG100" i="23"/>
  <c r="BG101" i="23"/>
  <c r="BG102" i="23"/>
  <c r="BG103" i="23"/>
  <c r="BG104" i="23"/>
  <c r="BG105" i="23"/>
  <c r="BG106" i="23"/>
  <c r="BG107" i="23"/>
  <c r="BG108" i="23"/>
  <c r="BG109" i="23"/>
  <c r="BG110" i="23"/>
  <c r="BG111" i="23"/>
  <c r="BG112" i="23"/>
  <c r="BG113" i="23"/>
  <c r="BG114" i="23"/>
  <c r="BG115" i="23"/>
  <c r="BG116" i="23"/>
  <c r="BG117" i="23"/>
  <c r="BG118" i="23"/>
  <c r="BG119" i="23"/>
  <c r="BG120" i="23"/>
  <c r="BG121" i="23"/>
  <c r="BG122" i="23"/>
  <c r="BG123" i="23"/>
  <c r="BG124" i="23"/>
  <c r="BG125" i="23"/>
  <c r="BG126" i="23"/>
  <c r="BG127" i="23"/>
  <c r="BG128" i="23"/>
  <c r="BG129" i="23"/>
  <c r="BG130" i="23"/>
  <c r="BG131" i="23"/>
  <c r="BG132" i="23"/>
  <c r="BG133" i="23"/>
  <c r="BG134" i="23"/>
  <c r="BG135" i="23"/>
  <c r="BG136" i="23"/>
  <c r="BG137" i="23"/>
  <c r="BG138" i="23"/>
  <c r="BG139" i="23"/>
  <c r="BG140" i="23"/>
  <c r="BG141" i="23"/>
  <c r="BG142" i="23"/>
  <c r="BG143" i="23"/>
  <c r="BG144" i="23"/>
  <c r="BG145" i="23"/>
  <c r="BG146" i="23"/>
  <c r="BG147" i="23"/>
  <c r="BG148" i="23"/>
  <c r="BG149" i="23"/>
  <c r="BG150" i="23"/>
  <c r="BG151" i="23"/>
  <c r="BG152" i="23"/>
  <c r="BG153" i="23"/>
  <c r="BG154" i="23"/>
  <c r="BG155" i="23"/>
  <c r="BG156" i="23"/>
  <c r="BG157" i="23"/>
  <c r="BG158" i="23"/>
  <c r="BG159" i="23"/>
  <c r="BG160" i="23"/>
  <c r="BG161" i="23"/>
  <c r="BG162" i="23"/>
  <c r="BG163" i="23"/>
  <c r="BG164" i="23"/>
  <c r="BG165" i="23"/>
  <c r="BG166" i="23"/>
  <c r="BG167" i="23"/>
  <c r="BG168" i="23"/>
  <c r="BG169" i="23"/>
  <c r="BG170" i="23"/>
  <c r="BG171" i="23"/>
  <c r="BG172" i="23"/>
  <c r="BG173" i="23"/>
  <c r="BG174" i="23"/>
  <c r="BG175" i="23"/>
  <c r="BG176" i="23"/>
  <c r="BG177" i="23"/>
  <c r="BG178" i="23"/>
  <c r="BG179" i="23"/>
  <c r="BG180" i="23"/>
  <c r="BG181" i="23"/>
  <c r="BG182" i="23"/>
  <c r="BG183" i="23"/>
  <c r="BG184" i="23"/>
  <c r="BG185" i="23"/>
  <c r="BG186" i="23"/>
  <c r="BG187" i="23"/>
  <c r="BG188" i="23"/>
  <c r="BG189" i="23"/>
  <c r="BG190" i="23"/>
  <c r="BG191" i="23"/>
  <c r="BG192" i="23"/>
  <c r="BG193" i="23"/>
  <c r="BG194" i="23"/>
  <c r="BG195" i="23"/>
  <c r="BG196" i="23"/>
  <c r="BG197" i="23"/>
  <c r="BG198" i="23"/>
  <c r="BG199" i="23"/>
  <c r="BG200" i="23"/>
  <c r="BG201" i="23"/>
  <c r="BC4" i="23"/>
  <c r="BC5" i="23"/>
  <c r="BC6" i="23"/>
  <c r="BC7" i="23"/>
  <c r="BC8" i="23"/>
  <c r="BC9" i="23"/>
  <c r="BC10" i="23"/>
  <c r="BC11" i="23"/>
  <c r="BC12" i="23"/>
  <c r="BC13" i="23"/>
  <c r="BC14" i="23"/>
  <c r="BC15" i="23"/>
  <c r="BC16" i="23"/>
  <c r="BC17" i="23"/>
  <c r="BC18" i="23"/>
  <c r="BC19" i="23"/>
  <c r="BC20" i="23"/>
  <c r="BC21" i="23"/>
  <c r="BC22" i="23"/>
  <c r="BC23" i="23"/>
  <c r="BC24" i="23"/>
  <c r="BC25" i="23"/>
  <c r="BC26" i="23"/>
  <c r="BC27" i="23"/>
  <c r="BC28" i="23"/>
  <c r="BC29" i="23"/>
  <c r="BC30" i="23"/>
  <c r="BC31" i="23"/>
  <c r="BC32" i="23"/>
  <c r="BC33" i="23"/>
  <c r="BC34" i="23"/>
  <c r="BC35" i="23"/>
  <c r="BC36" i="23"/>
  <c r="BC37" i="23"/>
  <c r="BC38" i="23"/>
  <c r="BC39" i="23"/>
  <c r="BC40" i="23"/>
  <c r="BC41" i="23"/>
  <c r="BC42" i="23"/>
  <c r="BC43" i="23"/>
  <c r="BC44" i="23"/>
  <c r="BC45" i="23"/>
  <c r="BC46" i="23"/>
  <c r="BC47" i="23"/>
  <c r="BC48" i="23"/>
  <c r="BC49" i="23"/>
  <c r="BC50" i="23"/>
  <c r="BC51" i="23"/>
  <c r="BC52" i="23"/>
  <c r="BC53" i="23"/>
  <c r="BC54" i="23"/>
  <c r="BC55" i="23"/>
  <c r="BC56" i="23"/>
  <c r="BC57" i="23"/>
  <c r="BC58" i="23"/>
  <c r="BC59" i="23"/>
  <c r="BC60" i="23"/>
  <c r="BC61" i="23"/>
  <c r="BC62" i="23"/>
  <c r="BC63" i="23"/>
  <c r="BC64" i="23"/>
  <c r="BC65" i="23"/>
  <c r="BC66" i="23"/>
  <c r="BC67" i="23"/>
  <c r="BC68" i="23"/>
  <c r="BC69" i="23"/>
  <c r="BC70" i="23"/>
  <c r="BC71" i="23"/>
  <c r="BC72" i="23"/>
  <c r="BC73" i="23"/>
  <c r="BC74" i="23"/>
  <c r="BC75" i="23"/>
  <c r="BC76" i="23"/>
  <c r="BC77" i="23"/>
  <c r="BC78" i="23"/>
  <c r="BC79" i="23"/>
  <c r="BC80" i="23"/>
  <c r="BC81" i="23"/>
  <c r="BC82" i="23"/>
  <c r="BC83" i="23"/>
  <c r="BC84" i="23"/>
  <c r="BC85" i="23"/>
  <c r="BC86" i="23"/>
  <c r="BC87" i="23"/>
  <c r="BC88" i="23"/>
  <c r="BC89" i="23"/>
  <c r="BC90" i="23"/>
  <c r="BC91" i="23"/>
  <c r="BC92" i="23"/>
  <c r="BC93" i="23"/>
  <c r="BC94" i="23"/>
  <c r="BC95" i="23"/>
  <c r="BC96" i="23"/>
  <c r="BC97" i="23"/>
  <c r="BC98" i="23"/>
  <c r="BC99" i="23"/>
  <c r="BC100" i="23"/>
  <c r="BC101" i="23"/>
  <c r="BC102" i="23"/>
  <c r="BC103" i="23"/>
  <c r="BC104" i="23"/>
  <c r="BC105" i="23"/>
  <c r="BC106" i="23"/>
  <c r="BC107" i="23"/>
  <c r="BC108" i="23"/>
  <c r="BC109" i="23"/>
  <c r="BC110" i="23"/>
  <c r="BC111" i="23"/>
  <c r="BC112" i="23"/>
  <c r="BC113" i="23"/>
  <c r="BC114" i="23"/>
  <c r="BC115" i="23"/>
  <c r="BC116" i="23"/>
  <c r="BC117" i="23"/>
  <c r="BC118" i="23"/>
  <c r="BC119" i="23"/>
  <c r="BC120" i="23"/>
  <c r="BC121" i="23"/>
  <c r="BC122" i="23"/>
  <c r="BC123" i="23"/>
  <c r="BC124" i="23"/>
  <c r="BC125" i="23"/>
  <c r="BC126" i="23"/>
  <c r="BC127" i="23"/>
  <c r="BC128" i="23"/>
  <c r="BC129" i="23"/>
  <c r="BC130" i="23"/>
  <c r="BC131" i="23"/>
  <c r="BC132" i="23"/>
  <c r="BC133" i="23"/>
  <c r="BC134" i="23"/>
  <c r="BC135" i="23"/>
  <c r="BC136" i="23"/>
  <c r="BC137" i="23"/>
  <c r="BC138" i="23"/>
  <c r="BC139" i="23"/>
  <c r="BC140" i="23"/>
  <c r="BC141" i="23"/>
  <c r="BC142" i="23"/>
  <c r="BC143" i="23"/>
  <c r="BC144" i="23"/>
  <c r="BC145" i="23"/>
  <c r="BC146" i="23"/>
  <c r="BC147" i="23"/>
  <c r="BC148" i="23"/>
  <c r="BC149" i="23"/>
  <c r="BC150" i="23"/>
  <c r="BC151" i="23"/>
  <c r="BC152" i="23"/>
  <c r="BC153" i="23"/>
  <c r="BC154" i="23"/>
  <c r="BC155" i="23"/>
  <c r="BC156" i="23"/>
  <c r="BC157" i="23"/>
  <c r="BC158" i="23"/>
  <c r="BC159" i="23"/>
  <c r="BC160" i="23"/>
  <c r="BC161" i="23"/>
  <c r="BC162" i="23"/>
  <c r="BC163" i="23"/>
  <c r="BC164" i="23"/>
  <c r="BC165" i="23"/>
  <c r="BC166" i="23"/>
  <c r="BC167" i="23"/>
  <c r="BC168" i="23"/>
  <c r="BC169" i="23"/>
  <c r="BC170" i="23"/>
  <c r="BC171" i="23"/>
  <c r="BC172" i="23"/>
  <c r="BC173" i="23"/>
  <c r="BC174" i="23"/>
  <c r="BC175" i="23"/>
  <c r="BC176" i="23"/>
  <c r="BC177" i="23"/>
  <c r="BC178" i="23"/>
  <c r="BC179" i="23"/>
  <c r="BC180" i="23"/>
  <c r="BC181" i="23"/>
  <c r="BC182" i="23"/>
  <c r="BC183" i="23"/>
  <c r="BC184" i="23"/>
  <c r="BC185" i="23"/>
  <c r="BC186" i="23"/>
  <c r="BC187" i="23"/>
  <c r="BC188" i="23"/>
  <c r="BC189" i="23"/>
  <c r="BC190" i="23"/>
  <c r="BC191" i="23"/>
  <c r="BC192" i="23"/>
  <c r="BC193" i="23"/>
  <c r="BC194" i="23"/>
  <c r="BC195" i="23"/>
  <c r="BC196" i="23"/>
  <c r="BC197" i="23"/>
  <c r="BC198" i="23"/>
  <c r="BC199" i="23"/>
  <c r="BC200" i="23"/>
  <c r="BC201" i="23"/>
  <c r="AY4" i="23"/>
  <c r="AY5" i="23"/>
  <c r="AY6" i="23"/>
  <c r="AY7" i="23"/>
  <c r="AY8" i="23"/>
  <c r="AY9" i="23"/>
  <c r="AY10" i="23"/>
  <c r="AY11" i="23"/>
  <c r="AY12" i="23"/>
  <c r="AY13" i="23"/>
  <c r="AY14" i="23"/>
  <c r="AY15" i="23"/>
  <c r="AY16" i="23"/>
  <c r="AY17" i="23"/>
  <c r="AY18" i="23"/>
  <c r="AY19" i="23"/>
  <c r="AY20" i="23"/>
  <c r="AY21" i="23"/>
  <c r="AY22" i="23"/>
  <c r="AY23" i="23"/>
  <c r="AY24" i="23"/>
  <c r="AY25" i="23"/>
  <c r="AY26" i="23"/>
  <c r="AY27" i="23"/>
  <c r="AY28" i="23"/>
  <c r="AY29" i="23"/>
  <c r="AY30" i="23"/>
  <c r="AY31" i="23"/>
  <c r="AY32" i="23"/>
  <c r="AY33" i="23"/>
  <c r="AY34" i="23"/>
  <c r="AY35" i="23"/>
  <c r="AY36" i="23"/>
  <c r="AY37" i="23"/>
  <c r="AY38" i="23"/>
  <c r="AY39" i="23"/>
  <c r="AY40" i="23"/>
  <c r="AY41" i="23"/>
  <c r="AY42" i="23"/>
  <c r="AY43" i="23"/>
  <c r="AY44" i="23"/>
  <c r="AY45" i="23"/>
  <c r="AY46" i="23"/>
  <c r="AY47" i="23"/>
  <c r="AY48" i="23"/>
  <c r="AY49" i="23"/>
  <c r="AY50" i="23"/>
  <c r="AY51" i="23"/>
  <c r="AY52" i="23"/>
  <c r="AY53" i="23"/>
  <c r="AY54" i="23"/>
  <c r="AY55" i="23"/>
  <c r="AY56" i="23"/>
  <c r="AY57" i="23"/>
  <c r="AY58" i="23"/>
  <c r="AY59" i="23"/>
  <c r="AY60" i="23"/>
  <c r="AY61" i="23"/>
  <c r="AY62" i="23"/>
  <c r="AY63" i="23"/>
  <c r="AY64" i="23"/>
  <c r="AY65" i="23"/>
  <c r="AY66" i="23"/>
  <c r="AY67" i="23"/>
  <c r="AY68" i="23"/>
  <c r="AY69" i="23"/>
  <c r="AY70" i="23"/>
  <c r="AY71" i="23"/>
  <c r="AY72" i="23"/>
  <c r="AY73" i="23"/>
  <c r="AY74" i="23"/>
  <c r="AY75" i="23"/>
  <c r="AY76" i="23"/>
  <c r="AY77" i="23"/>
  <c r="AY78" i="23"/>
  <c r="AY79" i="23"/>
  <c r="AY80" i="23"/>
  <c r="AY81" i="23"/>
  <c r="AY82" i="23"/>
  <c r="AY83" i="23"/>
  <c r="AY84" i="23"/>
  <c r="AY85" i="23"/>
  <c r="AY86" i="23"/>
  <c r="AY87" i="23"/>
  <c r="AY88" i="23"/>
  <c r="AY89" i="23"/>
  <c r="AY90" i="23"/>
  <c r="AY91" i="23"/>
  <c r="AY92" i="23"/>
  <c r="AY93" i="23"/>
  <c r="AY94" i="23"/>
  <c r="AY95" i="23"/>
  <c r="AY96" i="23"/>
  <c r="AY97" i="23"/>
  <c r="AY98" i="23"/>
  <c r="AY99" i="23"/>
  <c r="AY100" i="23"/>
  <c r="AY101" i="23"/>
  <c r="AY102" i="23"/>
  <c r="AY103" i="23"/>
  <c r="AY104" i="23"/>
  <c r="AY105" i="23"/>
  <c r="AY106" i="23"/>
  <c r="AY107" i="23"/>
  <c r="AY108" i="23"/>
  <c r="AY109" i="23"/>
  <c r="AY110" i="23"/>
  <c r="AY111" i="23"/>
  <c r="AY112" i="23"/>
  <c r="AY113" i="23"/>
  <c r="AY114" i="23"/>
  <c r="AY115" i="23"/>
  <c r="AY116" i="23"/>
  <c r="AY117" i="23"/>
  <c r="AY118" i="23"/>
  <c r="AY119" i="23"/>
  <c r="AY120" i="23"/>
  <c r="AY121" i="23"/>
  <c r="AY122" i="23"/>
  <c r="AY123" i="23"/>
  <c r="AY124" i="23"/>
  <c r="AY125" i="23"/>
  <c r="AY126" i="23"/>
  <c r="AY127" i="23"/>
  <c r="AY128" i="23"/>
  <c r="AY129" i="23"/>
  <c r="AY130" i="23"/>
  <c r="AY131" i="23"/>
  <c r="AY132" i="23"/>
  <c r="AY133" i="23"/>
  <c r="AY134" i="23"/>
  <c r="AY135" i="23"/>
  <c r="AY136" i="23"/>
  <c r="AY137" i="23"/>
  <c r="AY138" i="23"/>
  <c r="AY139" i="23"/>
  <c r="AY140" i="23"/>
  <c r="AY141" i="23"/>
  <c r="AY142" i="23"/>
  <c r="AY143" i="23"/>
  <c r="AY144" i="23"/>
  <c r="AY145" i="23"/>
  <c r="AY146" i="23"/>
  <c r="AY147" i="23"/>
  <c r="AY148" i="23"/>
  <c r="AY149" i="23"/>
  <c r="AY150" i="23"/>
  <c r="AY151" i="23"/>
  <c r="AY152" i="23"/>
  <c r="AY153" i="23"/>
  <c r="AY154" i="23"/>
  <c r="AY155" i="23"/>
  <c r="AY156" i="23"/>
  <c r="AY157" i="23"/>
  <c r="AY158" i="23"/>
  <c r="AY159" i="23"/>
  <c r="AY160" i="23"/>
  <c r="AY161" i="23"/>
  <c r="AY162" i="23"/>
  <c r="AY163" i="23"/>
  <c r="AY164" i="23"/>
  <c r="AY165" i="23"/>
  <c r="AY166" i="23"/>
  <c r="AY167" i="23"/>
  <c r="AY168" i="23"/>
  <c r="AY169" i="23"/>
  <c r="AY170" i="23"/>
  <c r="AY171" i="23"/>
  <c r="AY172" i="23"/>
  <c r="AY173" i="23"/>
  <c r="AY174" i="23"/>
  <c r="AY175" i="23"/>
  <c r="AY176" i="23"/>
  <c r="AY177" i="23"/>
  <c r="AY178" i="23"/>
  <c r="AY179" i="23"/>
  <c r="AY180" i="23"/>
  <c r="AY181" i="23"/>
  <c r="AY182" i="23"/>
  <c r="AY183" i="23"/>
  <c r="AY184" i="23"/>
  <c r="AY185" i="23"/>
  <c r="AY186" i="23"/>
  <c r="AY187" i="23"/>
  <c r="AY188" i="23"/>
  <c r="AY189" i="23"/>
  <c r="AY190" i="23"/>
  <c r="AY191" i="23"/>
  <c r="AY192" i="23"/>
  <c r="AY193" i="23"/>
  <c r="AY194" i="23"/>
  <c r="AY195" i="23"/>
  <c r="AY196" i="23"/>
  <c r="AY197" i="23"/>
  <c r="AY198" i="23"/>
  <c r="AY199" i="23"/>
  <c r="AY200" i="23"/>
  <c r="AY201" i="23"/>
  <c r="AP4" i="23"/>
  <c r="AP5" i="23"/>
  <c r="AP6" i="23"/>
  <c r="AP7" i="23"/>
  <c r="AP8" i="23"/>
  <c r="AP9" i="23"/>
  <c r="AP10" i="23"/>
  <c r="AP11" i="23"/>
  <c r="AP12" i="23"/>
  <c r="AP13" i="23"/>
  <c r="AP14" i="23"/>
  <c r="AP15" i="23"/>
  <c r="AP16" i="23"/>
  <c r="AP17" i="23"/>
  <c r="AP18" i="23"/>
  <c r="AP19" i="23"/>
  <c r="AP20" i="23"/>
  <c r="AP21" i="23"/>
  <c r="AP22" i="23"/>
  <c r="AP23" i="23"/>
  <c r="AP24" i="23"/>
  <c r="AP25" i="23"/>
  <c r="AP26" i="23"/>
  <c r="AP27" i="23"/>
  <c r="AP28" i="23"/>
  <c r="AP29" i="23"/>
  <c r="AP30" i="23"/>
  <c r="AP31" i="23"/>
  <c r="AP32" i="23"/>
  <c r="AP33" i="23"/>
  <c r="AP34" i="23"/>
  <c r="AP35" i="23"/>
  <c r="AP36" i="23"/>
  <c r="AP37" i="23"/>
  <c r="AP38" i="23"/>
  <c r="AP39" i="23"/>
  <c r="AP40" i="23"/>
  <c r="AP41" i="23"/>
  <c r="AP42" i="23"/>
  <c r="AP43" i="23"/>
  <c r="AP44" i="23"/>
  <c r="AP45" i="23"/>
  <c r="AP46" i="23"/>
  <c r="AP47" i="23"/>
  <c r="AP48" i="23"/>
  <c r="AP49" i="23"/>
  <c r="AP50" i="23"/>
  <c r="AP51" i="23"/>
  <c r="AP52" i="23"/>
  <c r="AP53" i="23"/>
  <c r="AP54" i="23"/>
  <c r="AP55" i="23"/>
  <c r="AP56" i="23"/>
  <c r="AP57" i="23"/>
  <c r="AP58" i="23"/>
  <c r="AP59" i="23"/>
  <c r="AP60" i="23"/>
  <c r="AP61" i="23"/>
  <c r="AP62" i="23"/>
  <c r="AP63" i="23"/>
  <c r="AP64" i="23"/>
  <c r="AP65" i="23"/>
  <c r="AP66" i="23"/>
  <c r="AP67" i="23"/>
  <c r="AP68" i="23"/>
  <c r="AP69" i="23"/>
  <c r="AP70" i="23"/>
  <c r="AP71" i="23"/>
  <c r="AP72" i="23"/>
  <c r="AP73" i="23"/>
  <c r="AP74" i="23"/>
  <c r="AP75" i="23"/>
  <c r="AP76" i="23"/>
  <c r="AP77" i="23"/>
  <c r="AP78" i="23"/>
  <c r="AP79" i="23"/>
  <c r="AP80" i="23"/>
  <c r="AP81" i="23"/>
  <c r="AP82" i="23"/>
  <c r="AP83" i="23"/>
  <c r="AP84" i="23"/>
  <c r="AP85" i="23"/>
  <c r="AP86" i="23"/>
  <c r="AP87" i="23"/>
  <c r="AP88" i="23"/>
  <c r="AP89" i="23"/>
  <c r="AP90" i="23"/>
  <c r="AP91" i="23"/>
  <c r="AP92" i="23"/>
  <c r="AP93" i="23"/>
  <c r="AP94" i="23"/>
  <c r="AP95" i="23"/>
  <c r="AP96" i="23"/>
  <c r="AP97" i="23"/>
  <c r="AP98" i="23"/>
  <c r="AP99" i="23"/>
  <c r="AP100" i="23"/>
  <c r="AP101" i="23"/>
  <c r="AP102" i="23"/>
  <c r="AP103" i="23"/>
  <c r="AP104" i="23"/>
  <c r="AP105" i="23"/>
  <c r="AP106" i="23"/>
  <c r="AP107" i="23"/>
  <c r="AP108" i="23"/>
  <c r="AP109" i="23"/>
  <c r="AP110" i="23"/>
  <c r="AP111" i="23"/>
  <c r="AP112" i="23"/>
  <c r="AP113" i="23"/>
  <c r="AP114" i="23"/>
  <c r="AP115" i="23"/>
  <c r="AP116" i="23"/>
  <c r="AP117" i="23"/>
  <c r="AP118" i="23"/>
  <c r="AP119" i="23"/>
  <c r="AP120" i="23"/>
  <c r="AP121" i="23"/>
  <c r="AP122" i="23"/>
  <c r="AP123" i="23"/>
  <c r="AP124" i="23"/>
  <c r="AP125" i="23"/>
  <c r="AP126" i="23"/>
  <c r="AP127" i="23"/>
  <c r="AP128" i="23"/>
  <c r="AP129" i="23"/>
  <c r="AP130" i="23"/>
  <c r="AP131" i="23"/>
  <c r="AP132" i="23"/>
  <c r="AP133" i="23"/>
  <c r="AP134" i="23"/>
  <c r="AP135" i="23"/>
  <c r="AP136" i="23"/>
  <c r="AP137" i="23"/>
  <c r="AP138" i="23"/>
  <c r="AP139" i="23"/>
  <c r="AP140" i="23"/>
  <c r="AP141" i="23"/>
  <c r="AP142" i="23"/>
  <c r="AP143" i="23"/>
  <c r="AP144" i="23"/>
  <c r="AP145" i="23"/>
  <c r="AP146" i="23"/>
  <c r="AP147" i="23"/>
  <c r="AP148" i="23"/>
  <c r="AP149" i="23"/>
  <c r="AP150" i="23"/>
  <c r="AP151" i="23"/>
  <c r="AP152" i="23"/>
  <c r="AP153" i="23"/>
  <c r="AP154" i="23"/>
  <c r="AP155" i="23"/>
  <c r="AP156" i="23"/>
  <c r="AP157" i="23"/>
  <c r="AP158" i="23"/>
  <c r="AP159" i="23"/>
  <c r="AP160" i="23"/>
  <c r="AP161" i="23"/>
  <c r="AP162" i="23"/>
  <c r="AP163" i="23"/>
  <c r="AP164" i="23"/>
  <c r="AP165" i="23"/>
  <c r="AP166" i="23"/>
  <c r="AP167" i="23"/>
  <c r="AP168" i="23"/>
  <c r="AP169" i="23"/>
  <c r="AP170" i="23"/>
  <c r="AP171" i="23"/>
  <c r="AP172" i="23"/>
  <c r="AP173" i="23"/>
  <c r="AP174" i="23"/>
  <c r="AP175" i="23"/>
  <c r="AP176" i="23"/>
  <c r="AP177" i="23"/>
  <c r="AP178" i="23"/>
  <c r="AP179" i="23"/>
  <c r="AP180" i="23"/>
  <c r="AP181" i="23"/>
  <c r="AP182" i="23"/>
  <c r="AP183" i="23"/>
  <c r="AP184" i="23"/>
  <c r="AP185" i="23"/>
  <c r="AP186" i="23"/>
  <c r="AP187" i="23"/>
  <c r="AP188" i="23"/>
  <c r="AP189" i="23"/>
  <c r="AP190" i="23"/>
  <c r="AP191" i="23"/>
  <c r="AP192" i="23"/>
  <c r="AP193" i="23"/>
  <c r="AP194" i="23"/>
  <c r="AP195" i="23"/>
  <c r="AP196" i="23"/>
  <c r="AP197" i="23"/>
  <c r="AP198" i="23"/>
  <c r="AP199" i="23"/>
  <c r="AP200" i="23"/>
  <c r="AP201" i="23"/>
  <c r="AL4" i="23"/>
  <c r="AL5" i="23"/>
  <c r="AL6" i="23"/>
  <c r="AL7" i="23"/>
  <c r="AL8" i="23"/>
  <c r="AL9" i="23"/>
  <c r="AL10" i="23"/>
  <c r="AL11" i="23"/>
  <c r="AL12" i="23"/>
  <c r="AL13" i="23"/>
  <c r="AL14" i="23"/>
  <c r="AL15" i="23"/>
  <c r="AL16" i="23"/>
  <c r="AL17" i="23"/>
  <c r="AL18" i="23"/>
  <c r="AL19" i="23"/>
  <c r="AL20" i="23"/>
  <c r="AL21" i="23"/>
  <c r="AL22" i="23"/>
  <c r="AL23" i="23"/>
  <c r="AL24" i="23"/>
  <c r="AL25" i="23"/>
  <c r="AL26" i="23"/>
  <c r="AL27" i="23"/>
  <c r="AL28" i="23"/>
  <c r="AL29" i="23"/>
  <c r="AL30" i="23"/>
  <c r="AL31" i="23"/>
  <c r="AL32" i="23"/>
  <c r="AL33" i="23"/>
  <c r="AL34" i="23"/>
  <c r="AL35" i="23"/>
  <c r="AL36" i="23"/>
  <c r="AL37" i="23"/>
  <c r="AL38" i="23"/>
  <c r="AL39" i="23"/>
  <c r="AL40" i="23"/>
  <c r="AL41" i="23"/>
  <c r="AL42" i="23"/>
  <c r="AL43" i="23"/>
  <c r="AL44" i="23"/>
  <c r="AL45" i="23"/>
  <c r="AL46" i="23"/>
  <c r="AL47" i="23"/>
  <c r="AL48" i="23"/>
  <c r="AL49" i="23"/>
  <c r="AL50" i="23"/>
  <c r="AL51" i="23"/>
  <c r="AL52" i="23"/>
  <c r="AL53" i="23"/>
  <c r="AL54" i="23"/>
  <c r="AL55" i="23"/>
  <c r="AL56" i="23"/>
  <c r="AL57" i="23"/>
  <c r="AL58" i="23"/>
  <c r="AL59" i="23"/>
  <c r="AL60" i="23"/>
  <c r="AL61" i="23"/>
  <c r="AL62" i="23"/>
  <c r="AL63" i="23"/>
  <c r="AL64" i="23"/>
  <c r="AL65" i="23"/>
  <c r="AL66" i="23"/>
  <c r="AL67" i="23"/>
  <c r="AL68" i="23"/>
  <c r="AL69" i="23"/>
  <c r="AL70" i="23"/>
  <c r="AL71" i="23"/>
  <c r="AL72" i="23"/>
  <c r="AL73" i="23"/>
  <c r="AL74" i="23"/>
  <c r="AL75" i="23"/>
  <c r="AL76" i="23"/>
  <c r="AL77" i="23"/>
  <c r="AL78" i="23"/>
  <c r="AL79" i="23"/>
  <c r="AL80" i="23"/>
  <c r="AL81" i="23"/>
  <c r="AL82" i="23"/>
  <c r="AL83" i="23"/>
  <c r="AL84" i="23"/>
  <c r="AL85" i="23"/>
  <c r="AL86" i="23"/>
  <c r="AL87" i="23"/>
  <c r="AL88" i="23"/>
  <c r="AL89" i="23"/>
  <c r="AL90" i="23"/>
  <c r="AL91" i="23"/>
  <c r="AL92" i="23"/>
  <c r="AL93" i="23"/>
  <c r="AL94" i="23"/>
  <c r="AL95" i="23"/>
  <c r="AL96" i="23"/>
  <c r="AL97" i="23"/>
  <c r="AL98" i="23"/>
  <c r="AL99" i="23"/>
  <c r="AL100" i="23"/>
  <c r="AL101" i="23"/>
  <c r="AL102" i="23"/>
  <c r="AL103" i="23"/>
  <c r="AL104" i="23"/>
  <c r="AL105" i="23"/>
  <c r="AL106" i="23"/>
  <c r="AL107" i="23"/>
  <c r="AL108" i="23"/>
  <c r="AL109" i="23"/>
  <c r="AL110" i="23"/>
  <c r="AL111" i="23"/>
  <c r="AL112" i="23"/>
  <c r="AL113" i="23"/>
  <c r="AL114" i="23"/>
  <c r="AL115" i="23"/>
  <c r="AL116" i="23"/>
  <c r="AL117" i="23"/>
  <c r="AL118" i="23"/>
  <c r="AL119" i="23"/>
  <c r="AL120" i="23"/>
  <c r="AL121" i="23"/>
  <c r="AL122" i="23"/>
  <c r="AL123" i="23"/>
  <c r="AL124" i="23"/>
  <c r="AL125" i="23"/>
  <c r="AL126" i="23"/>
  <c r="AL127" i="23"/>
  <c r="AL128" i="23"/>
  <c r="AL129" i="23"/>
  <c r="AL130" i="23"/>
  <c r="AL131" i="23"/>
  <c r="AL132" i="23"/>
  <c r="AL133" i="23"/>
  <c r="AL134" i="23"/>
  <c r="AL135" i="23"/>
  <c r="AL136" i="23"/>
  <c r="AL137" i="23"/>
  <c r="AL138" i="23"/>
  <c r="AL139" i="23"/>
  <c r="AL140" i="23"/>
  <c r="AL141" i="23"/>
  <c r="AL142" i="23"/>
  <c r="AL143" i="23"/>
  <c r="AL144" i="23"/>
  <c r="AL145" i="23"/>
  <c r="AL146" i="23"/>
  <c r="AL147" i="23"/>
  <c r="AL148" i="23"/>
  <c r="AL149" i="23"/>
  <c r="AL150" i="23"/>
  <c r="AL151" i="23"/>
  <c r="AL152" i="23"/>
  <c r="AL153" i="23"/>
  <c r="AL154" i="23"/>
  <c r="AL155" i="23"/>
  <c r="AL156" i="23"/>
  <c r="AL157" i="23"/>
  <c r="AL158" i="23"/>
  <c r="AL159" i="23"/>
  <c r="AL160" i="23"/>
  <c r="AL161" i="23"/>
  <c r="AL162" i="23"/>
  <c r="AL163" i="23"/>
  <c r="AL164" i="23"/>
  <c r="AL165" i="23"/>
  <c r="AL166" i="23"/>
  <c r="AL167" i="23"/>
  <c r="AL168" i="23"/>
  <c r="AL169" i="23"/>
  <c r="AL170" i="23"/>
  <c r="AL171" i="23"/>
  <c r="AL172" i="23"/>
  <c r="AL173" i="23"/>
  <c r="AL174" i="23"/>
  <c r="AL175" i="23"/>
  <c r="AL176" i="23"/>
  <c r="AL177" i="23"/>
  <c r="AL178" i="23"/>
  <c r="AL179" i="23"/>
  <c r="AL180" i="23"/>
  <c r="AL181" i="23"/>
  <c r="AL182" i="23"/>
  <c r="AL183" i="23"/>
  <c r="AL184" i="23"/>
  <c r="AL185" i="23"/>
  <c r="AL186" i="23"/>
  <c r="AL187" i="23"/>
  <c r="AL188" i="23"/>
  <c r="AL189" i="23"/>
  <c r="AL190" i="23"/>
  <c r="AL191" i="23"/>
  <c r="AL192" i="23"/>
  <c r="AL193" i="23"/>
  <c r="AL194" i="23"/>
  <c r="AL195" i="23"/>
  <c r="AL196" i="23"/>
  <c r="AL197" i="23"/>
  <c r="AL198" i="23"/>
  <c r="AL199" i="23"/>
  <c r="AL200" i="23"/>
  <c r="AL201" i="23"/>
  <c r="AH4" i="23"/>
  <c r="AH5" i="23"/>
  <c r="AH6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0" i="23"/>
  <c r="AH41" i="23"/>
  <c r="AH42" i="23"/>
  <c r="AH43" i="23"/>
  <c r="AH44" i="23"/>
  <c r="AH45" i="23"/>
  <c r="AH46" i="23"/>
  <c r="AH47" i="23"/>
  <c r="AH48" i="23"/>
  <c r="AH49" i="23"/>
  <c r="AH50" i="23"/>
  <c r="AH51" i="23"/>
  <c r="AH52" i="23"/>
  <c r="AH53" i="23"/>
  <c r="AH54" i="23"/>
  <c r="AH55" i="23"/>
  <c r="AH56" i="23"/>
  <c r="AH57" i="23"/>
  <c r="AH58" i="23"/>
  <c r="AH59" i="23"/>
  <c r="AH60" i="23"/>
  <c r="AH61" i="23"/>
  <c r="AH62" i="23"/>
  <c r="AH63" i="23"/>
  <c r="AH64" i="23"/>
  <c r="AH65" i="23"/>
  <c r="AH66" i="23"/>
  <c r="AH67" i="23"/>
  <c r="AH68" i="23"/>
  <c r="AH69" i="23"/>
  <c r="AH70" i="23"/>
  <c r="AH71" i="23"/>
  <c r="AH72" i="23"/>
  <c r="AH73" i="23"/>
  <c r="AH74" i="23"/>
  <c r="AH75" i="23"/>
  <c r="AH76" i="23"/>
  <c r="AH77" i="23"/>
  <c r="AH78" i="23"/>
  <c r="AH79" i="23"/>
  <c r="AH80" i="23"/>
  <c r="AH81" i="23"/>
  <c r="AH82" i="23"/>
  <c r="AH83" i="23"/>
  <c r="AH84" i="23"/>
  <c r="AH85" i="23"/>
  <c r="AH86" i="23"/>
  <c r="AH87" i="23"/>
  <c r="AH88" i="23"/>
  <c r="AH89" i="23"/>
  <c r="AH90" i="23"/>
  <c r="AH91" i="23"/>
  <c r="AH92" i="23"/>
  <c r="AH93" i="23"/>
  <c r="AH94" i="23"/>
  <c r="AH95" i="23"/>
  <c r="AH96" i="23"/>
  <c r="AH97" i="23"/>
  <c r="AH98" i="23"/>
  <c r="AH99" i="23"/>
  <c r="AH100" i="23"/>
  <c r="AH101" i="23"/>
  <c r="AH102" i="23"/>
  <c r="AH103" i="23"/>
  <c r="AH104" i="23"/>
  <c r="AH105" i="23"/>
  <c r="AH106" i="23"/>
  <c r="AH107" i="23"/>
  <c r="AH108" i="23"/>
  <c r="AH109" i="23"/>
  <c r="AH110" i="23"/>
  <c r="AH111" i="23"/>
  <c r="AH112" i="23"/>
  <c r="AH113" i="23"/>
  <c r="AH114" i="23"/>
  <c r="AH115" i="23"/>
  <c r="AH116" i="23"/>
  <c r="AH117" i="23"/>
  <c r="AH118" i="23"/>
  <c r="AH119" i="23"/>
  <c r="AH120" i="23"/>
  <c r="AH121" i="23"/>
  <c r="AH122" i="23"/>
  <c r="AH123" i="23"/>
  <c r="AH124" i="23"/>
  <c r="AH125" i="23"/>
  <c r="AH126" i="23"/>
  <c r="AH127" i="23"/>
  <c r="AH128" i="23"/>
  <c r="AH129" i="23"/>
  <c r="AH130" i="23"/>
  <c r="AH131" i="23"/>
  <c r="AH132" i="23"/>
  <c r="AH133" i="23"/>
  <c r="AH134" i="23"/>
  <c r="AH135" i="23"/>
  <c r="AH136" i="23"/>
  <c r="AH137" i="23"/>
  <c r="AH138" i="23"/>
  <c r="AH139" i="23"/>
  <c r="AH140" i="23"/>
  <c r="AH141" i="23"/>
  <c r="AH142" i="23"/>
  <c r="AH143" i="23"/>
  <c r="AH144" i="23"/>
  <c r="AH145" i="23"/>
  <c r="AH146" i="23"/>
  <c r="AH147" i="23"/>
  <c r="AH148" i="23"/>
  <c r="AH149" i="23"/>
  <c r="AH150" i="23"/>
  <c r="AH151" i="23"/>
  <c r="AH152" i="23"/>
  <c r="AH153" i="23"/>
  <c r="AH154" i="23"/>
  <c r="AH155" i="23"/>
  <c r="AH156" i="23"/>
  <c r="AH157" i="23"/>
  <c r="AH158" i="23"/>
  <c r="AH159" i="23"/>
  <c r="AH160" i="23"/>
  <c r="AH161" i="23"/>
  <c r="AH162" i="23"/>
  <c r="AH163" i="23"/>
  <c r="AH164" i="23"/>
  <c r="AH165" i="23"/>
  <c r="AH166" i="23"/>
  <c r="AH167" i="23"/>
  <c r="AH168" i="23"/>
  <c r="AH169" i="23"/>
  <c r="AH170" i="23"/>
  <c r="AH171" i="23"/>
  <c r="AH172" i="23"/>
  <c r="AH173" i="23"/>
  <c r="AH174" i="23"/>
  <c r="AH175" i="23"/>
  <c r="AH176" i="23"/>
  <c r="AH177" i="23"/>
  <c r="AH178" i="23"/>
  <c r="AH179" i="23"/>
  <c r="AH180" i="23"/>
  <c r="AH181" i="23"/>
  <c r="AH182" i="23"/>
  <c r="AH183" i="23"/>
  <c r="AH184" i="23"/>
  <c r="AH185" i="23"/>
  <c r="AH186" i="23"/>
  <c r="AH187" i="23"/>
  <c r="AH188" i="23"/>
  <c r="AH189" i="23"/>
  <c r="AH190" i="23"/>
  <c r="AH191" i="23"/>
  <c r="AH192" i="23"/>
  <c r="AH193" i="23"/>
  <c r="AH194" i="23"/>
  <c r="AH195" i="23"/>
  <c r="AH196" i="23"/>
  <c r="AH197" i="23"/>
  <c r="AH198" i="23"/>
  <c r="AH199" i="23"/>
  <c r="AH200" i="23"/>
  <c r="AH201" i="23"/>
  <c r="Y4" i="23"/>
  <c r="Y5" i="23"/>
  <c r="Y6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Y83" i="23"/>
  <c r="Y84" i="23"/>
  <c r="Y85" i="23"/>
  <c r="Y86" i="23"/>
  <c r="Y87" i="23"/>
  <c r="Y88" i="23"/>
  <c r="Y89" i="23"/>
  <c r="Y90" i="23"/>
  <c r="Y91" i="23"/>
  <c r="Y92" i="23"/>
  <c r="Y93" i="23"/>
  <c r="Y94" i="23"/>
  <c r="Y95" i="23"/>
  <c r="Y96" i="23"/>
  <c r="Y97" i="23"/>
  <c r="Y98" i="23"/>
  <c r="Y99" i="23"/>
  <c r="Y100" i="23"/>
  <c r="Y101" i="23"/>
  <c r="Y102" i="23"/>
  <c r="Y103" i="23"/>
  <c r="Y104" i="23"/>
  <c r="Y105" i="23"/>
  <c r="Y106" i="23"/>
  <c r="Y107" i="23"/>
  <c r="Y108" i="23"/>
  <c r="Y109" i="23"/>
  <c r="Y110" i="23"/>
  <c r="Y111" i="23"/>
  <c r="Y112" i="23"/>
  <c r="Y113" i="23"/>
  <c r="Y114" i="23"/>
  <c r="Y115" i="23"/>
  <c r="Y116" i="23"/>
  <c r="Y117" i="23"/>
  <c r="Y118" i="23"/>
  <c r="Y119" i="23"/>
  <c r="Y120" i="23"/>
  <c r="Y121" i="23"/>
  <c r="Y122" i="23"/>
  <c r="Y123" i="23"/>
  <c r="Y124" i="23"/>
  <c r="Y125" i="23"/>
  <c r="Y126" i="23"/>
  <c r="Y127" i="23"/>
  <c r="Y128" i="23"/>
  <c r="Y129" i="23"/>
  <c r="Y130" i="23"/>
  <c r="Y131" i="23"/>
  <c r="Y132" i="23"/>
  <c r="Y133" i="23"/>
  <c r="Y134" i="23"/>
  <c r="Y135" i="23"/>
  <c r="Y136" i="23"/>
  <c r="Y137" i="23"/>
  <c r="Y138" i="23"/>
  <c r="Y139" i="23"/>
  <c r="Y140" i="23"/>
  <c r="Y141" i="23"/>
  <c r="Y142" i="23"/>
  <c r="Y143" i="23"/>
  <c r="Y144" i="23"/>
  <c r="Y145" i="23"/>
  <c r="Y146" i="23"/>
  <c r="Y147" i="23"/>
  <c r="Y148" i="23"/>
  <c r="Y149" i="23"/>
  <c r="Y150" i="23"/>
  <c r="Y151" i="23"/>
  <c r="Y152" i="23"/>
  <c r="Y153" i="23"/>
  <c r="Y154" i="23"/>
  <c r="Y155" i="23"/>
  <c r="Y156" i="23"/>
  <c r="Y157" i="23"/>
  <c r="Y158" i="23"/>
  <c r="Y159" i="23"/>
  <c r="Y160" i="23"/>
  <c r="Y161" i="23"/>
  <c r="Y162" i="23"/>
  <c r="Y163" i="23"/>
  <c r="Y164" i="23"/>
  <c r="Y165" i="23"/>
  <c r="Y166" i="23"/>
  <c r="Y167" i="23"/>
  <c r="Y168" i="23"/>
  <c r="Y169" i="23"/>
  <c r="Y170" i="23"/>
  <c r="Y171" i="23"/>
  <c r="Y172" i="23"/>
  <c r="Y173" i="23"/>
  <c r="Y174" i="23"/>
  <c r="Y175" i="23"/>
  <c r="Y176" i="23"/>
  <c r="Y177" i="23"/>
  <c r="Y178" i="23"/>
  <c r="Y179" i="23"/>
  <c r="Y180" i="23"/>
  <c r="Y181" i="23"/>
  <c r="Y182" i="23"/>
  <c r="Y183" i="23"/>
  <c r="Y184" i="23"/>
  <c r="Y185" i="23"/>
  <c r="Y186" i="23"/>
  <c r="Y187" i="23"/>
  <c r="Y188" i="23"/>
  <c r="Y189" i="23"/>
  <c r="Y190" i="23"/>
  <c r="Y191" i="23"/>
  <c r="Y192" i="23"/>
  <c r="Y193" i="23"/>
  <c r="Y194" i="23"/>
  <c r="Y195" i="23"/>
  <c r="Y196" i="23"/>
  <c r="Y197" i="23"/>
  <c r="Y198" i="23"/>
  <c r="Y199" i="23"/>
  <c r="Y200" i="23"/>
  <c r="Y201" i="23"/>
  <c r="U4" i="23"/>
  <c r="U5" i="23"/>
  <c r="U6" i="23"/>
  <c r="U7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36" i="23"/>
  <c r="U37" i="23"/>
  <c r="U38" i="23"/>
  <c r="U39" i="23"/>
  <c r="U40" i="23"/>
  <c r="U41" i="23"/>
  <c r="U42" i="23"/>
  <c r="U43" i="23"/>
  <c r="U44" i="23"/>
  <c r="U45" i="23"/>
  <c r="U46" i="23"/>
  <c r="U47" i="23"/>
  <c r="U48" i="23"/>
  <c r="U49" i="23"/>
  <c r="U50" i="23"/>
  <c r="U51" i="23"/>
  <c r="U52" i="23"/>
  <c r="U53" i="23"/>
  <c r="U54" i="23"/>
  <c r="U55" i="23"/>
  <c r="U56" i="23"/>
  <c r="U57" i="23"/>
  <c r="U58" i="23"/>
  <c r="U59" i="23"/>
  <c r="U60" i="23"/>
  <c r="U61" i="23"/>
  <c r="U62" i="23"/>
  <c r="U63" i="23"/>
  <c r="U64" i="23"/>
  <c r="U65" i="23"/>
  <c r="U66" i="23"/>
  <c r="U67" i="23"/>
  <c r="U68" i="23"/>
  <c r="U69" i="23"/>
  <c r="U70" i="23"/>
  <c r="U71" i="23"/>
  <c r="U72" i="23"/>
  <c r="U73" i="23"/>
  <c r="U74" i="23"/>
  <c r="U75" i="23"/>
  <c r="U76" i="23"/>
  <c r="U77" i="23"/>
  <c r="U78" i="23"/>
  <c r="U79" i="23"/>
  <c r="U80" i="23"/>
  <c r="U81" i="23"/>
  <c r="U82" i="23"/>
  <c r="U83" i="23"/>
  <c r="U84" i="23"/>
  <c r="U85" i="23"/>
  <c r="U86" i="23"/>
  <c r="U87" i="23"/>
  <c r="U88" i="23"/>
  <c r="U89" i="23"/>
  <c r="U90" i="23"/>
  <c r="U91" i="23"/>
  <c r="U92" i="23"/>
  <c r="U93" i="23"/>
  <c r="U94" i="23"/>
  <c r="U95" i="23"/>
  <c r="U96" i="23"/>
  <c r="U97" i="23"/>
  <c r="U98" i="23"/>
  <c r="U99" i="23"/>
  <c r="U100" i="23"/>
  <c r="U101" i="23"/>
  <c r="U102" i="23"/>
  <c r="U103" i="23"/>
  <c r="U104" i="23"/>
  <c r="U105" i="23"/>
  <c r="U106" i="23"/>
  <c r="U107" i="23"/>
  <c r="U108" i="23"/>
  <c r="U109" i="23"/>
  <c r="U110" i="23"/>
  <c r="U111" i="23"/>
  <c r="U112" i="23"/>
  <c r="U113" i="23"/>
  <c r="U114" i="23"/>
  <c r="U115" i="23"/>
  <c r="U116" i="23"/>
  <c r="U117" i="23"/>
  <c r="U118" i="23"/>
  <c r="U119" i="23"/>
  <c r="U120" i="23"/>
  <c r="U121" i="23"/>
  <c r="U122" i="23"/>
  <c r="U123" i="23"/>
  <c r="U124" i="23"/>
  <c r="U125" i="23"/>
  <c r="U126" i="23"/>
  <c r="U127" i="23"/>
  <c r="U128" i="23"/>
  <c r="U129" i="23"/>
  <c r="U130" i="23"/>
  <c r="U131" i="23"/>
  <c r="U132" i="23"/>
  <c r="U133" i="23"/>
  <c r="U134" i="23"/>
  <c r="U135" i="23"/>
  <c r="U136" i="23"/>
  <c r="U137" i="23"/>
  <c r="U138" i="23"/>
  <c r="U139" i="23"/>
  <c r="U140" i="23"/>
  <c r="U141" i="23"/>
  <c r="U142" i="23"/>
  <c r="U143" i="23"/>
  <c r="U144" i="23"/>
  <c r="U145" i="23"/>
  <c r="U146" i="23"/>
  <c r="U147" i="23"/>
  <c r="U148" i="23"/>
  <c r="U149" i="23"/>
  <c r="U150" i="23"/>
  <c r="U151" i="23"/>
  <c r="U152" i="23"/>
  <c r="U153" i="23"/>
  <c r="U154" i="23"/>
  <c r="U155" i="23"/>
  <c r="U156" i="23"/>
  <c r="U157" i="23"/>
  <c r="U158" i="23"/>
  <c r="U159" i="23"/>
  <c r="U160" i="23"/>
  <c r="U161" i="23"/>
  <c r="U162" i="23"/>
  <c r="U163" i="23"/>
  <c r="U164" i="23"/>
  <c r="U165" i="23"/>
  <c r="U166" i="23"/>
  <c r="U167" i="23"/>
  <c r="U168" i="23"/>
  <c r="U169" i="23"/>
  <c r="U170" i="23"/>
  <c r="U171" i="23"/>
  <c r="U172" i="23"/>
  <c r="U173" i="23"/>
  <c r="U174" i="23"/>
  <c r="U175" i="23"/>
  <c r="U176" i="23"/>
  <c r="U177" i="23"/>
  <c r="U178" i="23"/>
  <c r="U179" i="23"/>
  <c r="U180" i="23"/>
  <c r="U181" i="23"/>
  <c r="U182" i="23"/>
  <c r="U183" i="23"/>
  <c r="U184" i="23"/>
  <c r="U185" i="23"/>
  <c r="U186" i="23"/>
  <c r="U187" i="23"/>
  <c r="U188" i="23"/>
  <c r="U189" i="23"/>
  <c r="U190" i="23"/>
  <c r="U191" i="23"/>
  <c r="U192" i="23"/>
  <c r="U193" i="23"/>
  <c r="U194" i="23"/>
  <c r="U195" i="23"/>
  <c r="U196" i="23"/>
  <c r="U197" i="23"/>
  <c r="U198" i="23"/>
  <c r="U199" i="23"/>
  <c r="U200" i="23"/>
  <c r="U201" i="23"/>
  <c r="Q4" i="23"/>
  <c r="Q5" i="23"/>
  <c r="Q6" i="23"/>
  <c r="Q7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Q45" i="23"/>
  <c r="Q46" i="23"/>
  <c r="Q47" i="23"/>
  <c r="Q48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Q75" i="23"/>
  <c r="Q76" i="23"/>
  <c r="Q77" i="23"/>
  <c r="Q78" i="23"/>
  <c r="Q79" i="23"/>
  <c r="Q80" i="23"/>
  <c r="Q81" i="23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Q108" i="23"/>
  <c r="Q109" i="23"/>
  <c r="Q110" i="23"/>
  <c r="Q111" i="23"/>
  <c r="Q112" i="23"/>
  <c r="Q113" i="23"/>
  <c r="Q114" i="23"/>
  <c r="Q115" i="23"/>
  <c r="Q116" i="23"/>
  <c r="Q117" i="23"/>
  <c r="Q118" i="23"/>
  <c r="Q119" i="23"/>
  <c r="Q120" i="23"/>
  <c r="Q121" i="23"/>
  <c r="Q122" i="23"/>
  <c r="Q123" i="23"/>
  <c r="Q124" i="23"/>
  <c r="Q125" i="23"/>
  <c r="Q126" i="23"/>
  <c r="Q127" i="23"/>
  <c r="Q128" i="23"/>
  <c r="Q129" i="23"/>
  <c r="Q130" i="23"/>
  <c r="Q131" i="23"/>
  <c r="Q132" i="23"/>
  <c r="Q133" i="23"/>
  <c r="Q134" i="23"/>
  <c r="Q135" i="23"/>
  <c r="Q136" i="23"/>
  <c r="Q137" i="23"/>
  <c r="Q138" i="23"/>
  <c r="Q139" i="23"/>
  <c r="Q140" i="23"/>
  <c r="Q141" i="23"/>
  <c r="Q142" i="23"/>
  <c r="Q143" i="23"/>
  <c r="Q144" i="23"/>
  <c r="Q145" i="23"/>
  <c r="Q146" i="23"/>
  <c r="Q147" i="23"/>
  <c r="Q148" i="23"/>
  <c r="Q149" i="23"/>
  <c r="Q150" i="23"/>
  <c r="Q151" i="23"/>
  <c r="Q152" i="23"/>
  <c r="Q153" i="23"/>
  <c r="Q154" i="23"/>
  <c r="Q155" i="23"/>
  <c r="Q156" i="23"/>
  <c r="Q157" i="23"/>
  <c r="Q158" i="23"/>
  <c r="Q159" i="23"/>
  <c r="Q160" i="23"/>
  <c r="Q161" i="23"/>
  <c r="Q162" i="23"/>
  <c r="Q163" i="23"/>
  <c r="Q164" i="23"/>
  <c r="Q165" i="23"/>
  <c r="Q166" i="23"/>
  <c r="Q167" i="23"/>
  <c r="Q168" i="23"/>
  <c r="Q169" i="23"/>
  <c r="Q170" i="23"/>
  <c r="Q171" i="23"/>
  <c r="Q172" i="23"/>
  <c r="Q173" i="23"/>
  <c r="Q174" i="23"/>
  <c r="Q175" i="23"/>
  <c r="Q176" i="23"/>
  <c r="Q177" i="23"/>
  <c r="Q178" i="23"/>
  <c r="Q179" i="23"/>
  <c r="Q180" i="23"/>
  <c r="Q181" i="23"/>
  <c r="Q182" i="23"/>
  <c r="Q183" i="23"/>
  <c r="Q184" i="23"/>
  <c r="Q185" i="23"/>
  <c r="Q186" i="23"/>
  <c r="Q187" i="23"/>
  <c r="Q188" i="23"/>
  <c r="Q189" i="23"/>
  <c r="Q190" i="23"/>
  <c r="Q191" i="23"/>
  <c r="Q192" i="23"/>
  <c r="Q193" i="23"/>
  <c r="Q194" i="23"/>
  <c r="Q195" i="23"/>
  <c r="Q196" i="23"/>
  <c r="Q197" i="23"/>
  <c r="Q198" i="23"/>
  <c r="Q199" i="23"/>
  <c r="Q200" i="23"/>
  <c r="Q201" i="23"/>
  <c r="BG4" i="22"/>
  <c r="BG5" i="22"/>
  <c r="BG6" i="22"/>
  <c r="BG7" i="22"/>
  <c r="BG8" i="22"/>
  <c r="BG9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G31" i="22"/>
  <c r="BG32" i="22"/>
  <c r="BG33" i="22"/>
  <c r="BG34" i="22"/>
  <c r="BG35" i="22"/>
  <c r="BG36" i="22"/>
  <c r="BG37" i="22"/>
  <c r="BG38" i="22"/>
  <c r="BG39" i="22"/>
  <c r="BG40" i="22"/>
  <c r="BG41" i="22"/>
  <c r="BG42" i="22"/>
  <c r="BG43" i="22"/>
  <c r="BG44" i="22"/>
  <c r="BG45" i="22"/>
  <c r="BG46" i="22"/>
  <c r="BG47" i="22"/>
  <c r="BG48" i="22"/>
  <c r="BG49" i="22"/>
  <c r="BG50" i="22"/>
  <c r="BG51" i="22"/>
  <c r="BG52" i="22"/>
  <c r="BG53" i="22"/>
  <c r="BG54" i="22"/>
  <c r="BG55" i="22"/>
  <c r="BG56" i="22"/>
  <c r="BG57" i="22"/>
  <c r="BG58" i="22"/>
  <c r="BG59" i="22"/>
  <c r="BG60" i="22"/>
  <c r="BG61" i="22"/>
  <c r="BG62" i="22"/>
  <c r="BG63" i="22"/>
  <c r="BG64" i="22"/>
  <c r="BG65" i="22"/>
  <c r="BG66" i="22"/>
  <c r="BG67" i="22"/>
  <c r="BG68" i="22"/>
  <c r="BG69" i="22"/>
  <c r="BG70" i="22"/>
  <c r="BG71" i="22"/>
  <c r="BG72" i="22"/>
  <c r="BG73" i="22"/>
  <c r="BG74" i="22"/>
  <c r="BG75" i="22"/>
  <c r="BG76" i="22"/>
  <c r="BG77" i="22"/>
  <c r="BG78" i="22"/>
  <c r="BG79" i="22"/>
  <c r="BG80" i="22"/>
  <c r="BG81" i="22"/>
  <c r="BG82" i="22"/>
  <c r="BG83" i="22"/>
  <c r="BG84" i="22"/>
  <c r="BG85" i="22"/>
  <c r="BG86" i="22"/>
  <c r="BG87" i="22"/>
  <c r="BG88" i="22"/>
  <c r="BG89" i="22"/>
  <c r="BG90" i="22"/>
  <c r="BG91" i="22"/>
  <c r="BG92" i="22"/>
  <c r="BG93" i="22"/>
  <c r="BG94" i="22"/>
  <c r="BG95" i="22"/>
  <c r="BG96" i="22"/>
  <c r="BG97" i="22"/>
  <c r="BG98" i="22"/>
  <c r="BG99" i="22"/>
  <c r="BG100" i="22"/>
  <c r="BG101" i="22"/>
  <c r="BG102" i="22"/>
  <c r="BG103" i="22"/>
  <c r="BG104" i="22"/>
  <c r="BG105" i="22"/>
  <c r="BG106" i="22"/>
  <c r="BG107" i="22"/>
  <c r="BG108" i="22"/>
  <c r="BG109" i="22"/>
  <c r="BG110" i="22"/>
  <c r="BG111" i="22"/>
  <c r="BG112" i="22"/>
  <c r="BG113" i="22"/>
  <c r="BG114" i="22"/>
  <c r="BG115" i="22"/>
  <c r="BG116" i="22"/>
  <c r="BG117" i="22"/>
  <c r="BG118" i="22"/>
  <c r="BG119" i="22"/>
  <c r="BG120" i="22"/>
  <c r="BG121" i="22"/>
  <c r="BG122" i="22"/>
  <c r="BG123" i="22"/>
  <c r="BG124" i="22"/>
  <c r="BG125" i="22"/>
  <c r="BG126" i="22"/>
  <c r="BG127" i="22"/>
  <c r="BG128" i="22"/>
  <c r="BG129" i="22"/>
  <c r="BG130" i="22"/>
  <c r="BG131" i="22"/>
  <c r="BG132" i="22"/>
  <c r="BG133" i="22"/>
  <c r="BG134" i="22"/>
  <c r="BG135" i="22"/>
  <c r="BG136" i="22"/>
  <c r="BG137" i="22"/>
  <c r="BG138" i="22"/>
  <c r="BG139" i="22"/>
  <c r="BG140" i="22"/>
  <c r="BG141" i="22"/>
  <c r="BG142" i="22"/>
  <c r="BG143" i="22"/>
  <c r="BG144" i="22"/>
  <c r="BG145" i="22"/>
  <c r="BG146" i="22"/>
  <c r="BG147" i="22"/>
  <c r="BG148" i="22"/>
  <c r="BG149" i="22"/>
  <c r="BG150" i="22"/>
  <c r="BG151" i="22"/>
  <c r="BG152" i="22"/>
  <c r="BG153" i="22"/>
  <c r="BG154" i="22"/>
  <c r="BG155" i="22"/>
  <c r="BG156" i="22"/>
  <c r="BG157" i="22"/>
  <c r="BG158" i="22"/>
  <c r="BG159" i="22"/>
  <c r="BG160" i="22"/>
  <c r="BG161" i="22"/>
  <c r="BG162" i="22"/>
  <c r="BG163" i="22"/>
  <c r="BG164" i="22"/>
  <c r="BG165" i="22"/>
  <c r="BG166" i="22"/>
  <c r="BG167" i="22"/>
  <c r="BG168" i="22"/>
  <c r="BG169" i="22"/>
  <c r="BG170" i="22"/>
  <c r="BG171" i="22"/>
  <c r="BG172" i="22"/>
  <c r="BG173" i="22"/>
  <c r="BG174" i="22"/>
  <c r="BG175" i="22"/>
  <c r="BG176" i="22"/>
  <c r="BG177" i="22"/>
  <c r="BG178" i="22"/>
  <c r="BG179" i="22"/>
  <c r="BG180" i="22"/>
  <c r="BG181" i="22"/>
  <c r="BG182" i="22"/>
  <c r="BG183" i="22"/>
  <c r="BG184" i="22"/>
  <c r="BG185" i="22"/>
  <c r="BG186" i="22"/>
  <c r="BG187" i="22"/>
  <c r="BG188" i="22"/>
  <c r="BG189" i="22"/>
  <c r="BG190" i="22"/>
  <c r="BG191" i="22"/>
  <c r="BG192" i="22"/>
  <c r="BG193" i="22"/>
  <c r="BG194" i="22"/>
  <c r="BG195" i="22"/>
  <c r="BG196" i="22"/>
  <c r="BG197" i="22"/>
  <c r="BG198" i="22"/>
  <c r="BG199" i="22"/>
  <c r="BG200" i="22"/>
  <c r="BG201" i="22"/>
  <c r="BC4" i="22"/>
  <c r="BC5" i="22"/>
  <c r="BC6" i="22"/>
  <c r="BC7" i="22"/>
  <c r="BC8" i="22"/>
  <c r="BC9" i="22"/>
  <c r="BC10" i="22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31" i="22"/>
  <c r="BC32" i="22"/>
  <c r="BC33" i="22"/>
  <c r="BC34" i="22"/>
  <c r="BC35" i="22"/>
  <c r="BC36" i="22"/>
  <c r="BC37" i="22"/>
  <c r="BC38" i="22"/>
  <c r="BC39" i="22"/>
  <c r="BC40" i="22"/>
  <c r="BC41" i="22"/>
  <c r="BC42" i="22"/>
  <c r="BC43" i="22"/>
  <c r="BC44" i="22"/>
  <c r="BC45" i="22"/>
  <c r="BC46" i="22"/>
  <c r="BC47" i="22"/>
  <c r="BC48" i="22"/>
  <c r="BC49" i="22"/>
  <c r="BC50" i="22"/>
  <c r="BC51" i="22"/>
  <c r="BC52" i="22"/>
  <c r="BC53" i="22"/>
  <c r="BC54" i="22"/>
  <c r="BC55" i="22"/>
  <c r="BC56" i="22"/>
  <c r="BC57" i="22"/>
  <c r="BC58" i="22"/>
  <c r="BC59" i="22"/>
  <c r="BC60" i="22"/>
  <c r="BC61" i="22"/>
  <c r="BC62" i="22"/>
  <c r="BC63" i="22"/>
  <c r="BC64" i="22"/>
  <c r="BC65" i="22"/>
  <c r="BC66" i="22"/>
  <c r="BC67" i="22"/>
  <c r="BC68" i="22"/>
  <c r="BC69" i="22"/>
  <c r="BC70" i="22"/>
  <c r="BC71" i="22"/>
  <c r="BC72" i="22"/>
  <c r="BC73" i="22"/>
  <c r="BC74" i="22"/>
  <c r="BC75" i="22"/>
  <c r="BC76" i="22"/>
  <c r="BC77" i="22"/>
  <c r="BC78" i="22"/>
  <c r="BC79" i="22"/>
  <c r="BC80" i="22"/>
  <c r="BC81" i="22"/>
  <c r="BC82" i="22"/>
  <c r="BC83" i="22"/>
  <c r="BC84" i="22"/>
  <c r="BC85" i="22"/>
  <c r="BC86" i="22"/>
  <c r="BC87" i="22"/>
  <c r="BC88" i="22"/>
  <c r="BC89" i="22"/>
  <c r="BC90" i="22"/>
  <c r="BC91" i="22"/>
  <c r="BC92" i="22"/>
  <c r="BC93" i="22"/>
  <c r="BC94" i="22"/>
  <c r="BC95" i="22"/>
  <c r="BC96" i="22"/>
  <c r="BC97" i="22"/>
  <c r="BC98" i="22"/>
  <c r="BC99" i="22"/>
  <c r="BC100" i="22"/>
  <c r="BC101" i="22"/>
  <c r="BC102" i="22"/>
  <c r="BC103" i="22"/>
  <c r="BC104" i="22"/>
  <c r="BC105" i="22"/>
  <c r="BC106" i="22"/>
  <c r="BC107" i="22"/>
  <c r="BC108" i="22"/>
  <c r="BC109" i="22"/>
  <c r="BC110" i="22"/>
  <c r="BC111" i="22"/>
  <c r="BC112" i="22"/>
  <c r="BC113" i="22"/>
  <c r="BC114" i="22"/>
  <c r="BC115" i="22"/>
  <c r="BC116" i="22"/>
  <c r="BC117" i="22"/>
  <c r="BC118" i="22"/>
  <c r="BC119" i="22"/>
  <c r="BC120" i="22"/>
  <c r="BC121" i="22"/>
  <c r="BC122" i="22"/>
  <c r="BC123" i="22"/>
  <c r="BC124" i="22"/>
  <c r="BC125" i="22"/>
  <c r="BC126" i="22"/>
  <c r="BC127" i="22"/>
  <c r="BC128" i="22"/>
  <c r="BC129" i="22"/>
  <c r="BC130" i="22"/>
  <c r="BC131" i="22"/>
  <c r="BC132" i="22"/>
  <c r="BC133" i="22"/>
  <c r="BC134" i="22"/>
  <c r="BC135" i="22"/>
  <c r="BC136" i="22"/>
  <c r="BC137" i="22"/>
  <c r="BC138" i="22"/>
  <c r="BC139" i="22"/>
  <c r="BC140" i="22"/>
  <c r="BC141" i="22"/>
  <c r="BC142" i="22"/>
  <c r="BC143" i="22"/>
  <c r="BC144" i="22"/>
  <c r="BC145" i="22"/>
  <c r="BC146" i="22"/>
  <c r="BC147" i="22"/>
  <c r="BC148" i="22"/>
  <c r="BC149" i="22"/>
  <c r="BC150" i="22"/>
  <c r="BC151" i="22"/>
  <c r="BC152" i="22"/>
  <c r="BC153" i="22"/>
  <c r="BC154" i="22"/>
  <c r="BC155" i="22"/>
  <c r="BC156" i="22"/>
  <c r="BC157" i="22"/>
  <c r="BC158" i="22"/>
  <c r="BC159" i="22"/>
  <c r="BC160" i="22"/>
  <c r="BC161" i="22"/>
  <c r="BC162" i="22"/>
  <c r="BC163" i="22"/>
  <c r="BC164" i="22"/>
  <c r="BC165" i="22"/>
  <c r="BC166" i="22"/>
  <c r="BC167" i="22"/>
  <c r="BC168" i="22"/>
  <c r="BC169" i="22"/>
  <c r="BC170" i="22"/>
  <c r="BC171" i="22"/>
  <c r="BC172" i="22"/>
  <c r="BC173" i="22"/>
  <c r="BC174" i="22"/>
  <c r="BC175" i="22"/>
  <c r="BC176" i="22"/>
  <c r="BC177" i="22"/>
  <c r="BC178" i="22"/>
  <c r="BC179" i="22"/>
  <c r="BC180" i="22"/>
  <c r="BC181" i="22"/>
  <c r="BC182" i="22"/>
  <c r="BC183" i="22"/>
  <c r="BC184" i="22"/>
  <c r="BC185" i="22"/>
  <c r="BC186" i="22"/>
  <c r="BC187" i="22"/>
  <c r="BC188" i="22"/>
  <c r="BC189" i="22"/>
  <c r="BC190" i="22"/>
  <c r="BC191" i="22"/>
  <c r="BC192" i="22"/>
  <c r="BC193" i="22"/>
  <c r="BC194" i="22"/>
  <c r="BC195" i="22"/>
  <c r="BC196" i="22"/>
  <c r="BC197" i="22"/>
  <c r="BC198" i="22"/>
  <c r="BC199" i="22"/>
  <c r="BC200" i="22"/>
  <c r="BC201" i="22"/>
  <c r="AY4" i="22"/>
  <c r="AY5" i="22"/>
  <c r="AY6" i="22"/>
  <c r="AY7" i="22"/>
  <c r="AY8" i="22"/>
  <c r="AY9" i="22"/>
  <c r="AY10" i="22"/>
  <c r="AY11" i="22"/>
  <c r="AY12" i="22"/>
  <c r="AY13" i="22"/>
  <c r="AY14" i="22"/>
  <c r="AY15" i="22"/>
  <c r="AY16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AY29" i="22"/>
  <c r="AY30" i="22"/>
  <c r="AY31" i="22"/>
  <c r="AY32" i="22"/>
  <c r="AY33" i="22"/>
  <c r="AY34" i="22"/>
  <c r="AY35" i="22"/>
  <c r="AY36" i="22"/>
  <c r="AY37" i="22"/>
  <c r="AY38" i="22"/>
  <c r="AY39" i="22"/>
  <c r="AY40" i="22"/>
  <c r="AY41" i="22"/>
  <c r="AY42" i="22"/>
  <c r="AY43" i="22"/>
  <c r="AY44" i="22"/>
  <c r="AY45" i="22"/>
  <c r="AY46" i="22"/>
  <c r="AY47" i="22"/>
  <c r="AY48" i="22"/>
  <c r="AY49" i="22"/>
  <c r="AY50" i="22"/>
  <c r="AY51" i="22"/>
  <c r="AY52" i="22"/>
  <c r="AY53" i="22"/>
  <c r="AY54" i="22"/>
  <c r="AY55" i="22"/>
  <c r="AY56" i="22"/>
  <c r="AY57" i="22"/>
  <c r="AY58" i="22"/>
  <c r="AY59" i="22"/>
  <c r="AY60" i="22"/>
  <c r="AY61" i="22"/>
  <c r="AY62" i="22"/>
  <c r="AY63" i="22"/>
  <c r="AY64" i="22"/>
  <c r="AY65" i="22"/>
  <c r="AY66" i="22"/>
  <c r="AY67" i="22"/>
  <c r="AY68" i="22"/>
  <c r="AY69" i="22"/>
  <c r="AY70" i="22"/>
  <c r="AY71" i="22"/>
  <c r="AY72" i="22"/>
  <c r="AY73" i="22"/>
  <c r="AY74" i="22"/>
  <c r="AY75" i="22"/>
  <c r="AY76" i="22"/>
  <c r="AY77" i="22"/>
  <c r="AY78" i="22"/>
  <c r="AY79" i="22"/>
  <c r="AY80" i="22"/>
  <c r="AY81" i="22"/>
  <c r="AY82" i="22"/>
  <c r="AY83" i="22"/>
  <c r="AY84" i="22"/>
  <c r="AY85" i="22"/>
  <c r="AY86" i="22"/>
  <c r="AY87" i="22"/>
  <c r="AY88" i="22"/>
  <c r="AY89" i="22"/>
  <c r="AY90" i="22"/>
  <c r="AY91" i="22"/>
  <c r="AY92" i="22"/>
  <c r="AY93" i="22"/>
  <c r="AY94" i="22"/>
  <c r="AY95" i="22"/>
  <c r="AY96" i="22"/>
  <c r="AY97" i="22"/>
  <c r="AY98" i="22"/>
  <c r="AY99" i="22"/>
  <c r="AY100" i="22"/>
  <c r="AY101" i="22"/>
  <c r="AY102" i="22"/>
  <c r="AY103" i="22"/>
  <c r="AY104" i="22"/>
  <c r="AY105" i="22"/>
  <c r="AY106" i="22"/>
  <c r="AY107" i="22"/>
  <c r="AY108" i="22"/>
  <c r="AY109" i="22"/>
  <c r="AY110" i="22"/>
  <c r="AY111" i="22"/>
  <c r="AY112" i="22"/>
  <c r="AY113" i="22"/>
  <c r="AY114" i="22"/>
  <c r="AY115" i="22"/>
  <c r="AY116" i="22"/>
  <c r="AY117" i="22"/>
  <c r="AY118" i="22"/>
  <c r="AY119" i="22"/>
  <c r="AY120" i="22"/>
  <c r="AY121" i="22"/>
  <c r="AY122" i="22"/>
  <c r="AY123" i="22"/>
  <c r="AY124" i="22"/>
  <c r="AY125" i="22"/>
  <c r="AY126" i="22"/>
  <c r="AY127" i="22"/>
  <c r="AY128" i="22"/>
  <c r="AY129" i="22"/>
  <c r="AY130" i="22"/>
  <c r="AY131" i="22"/>
  <c r="AY132" i="22"/>
  <c r="AY133" i="22"/>
  <c r="AY134" i="22"/>
  <c r="AY135" i="22"/>
  <c r="AY136" i="22"/>
  <c r="AY137" i="22"/>
  <c r="AY138" i="22"/>
  <c r="AY139" i="22"/>
  <c r="AY140" i="22"/>
  <c r="AY141" i="22"/>
  <c r="AY142" i="22"/>
  <c r="AY143" i="22"/>
  <c r="AY144" i="22"/>
  <c r="AY145" i="22"/>
  <c r="AY146" i="22"/>
  <c r="AY147" i="22"/>
  <c r="AY148" i="22"/>
  <c r="AY149" i="22"/>
  <c r="AY150" i="22"/>
  <c r="AY151" i="22"/>
  <c r="AY152" i="22"/>
  <c r="AY153" i="22"/>
  <c r="AY154" i="22"/>
  <c r="AY155" i="22"/>
  <c r="AY156" i="22"/>
  <c r="AY157" i="22"/>
  <c r="AY158" i="22"/>
  <c r="AY159" i="22"/>
  <c r="AY160" i="22"/>
  <c r="AY161" i="22"/>
  <c r="AY162" i="22"/>
  <c r="AY163" i="22"/>
  <c r="AY164" i="22"/>
  <c r="AY165" i="22"/>
  <c r="AY166" i="22"/>
  <c r="AY167" i="22"/>
  <c r="AY168" i="22"/>
  <c r="AY169" i="22"/>
  <c r="AY170" i="22"/>
  <c r="AY171" i="22"/>
  <c r="AY172" i="22"/>
  <c r="AY173" i="22"/>
  <c r="AY174" i="22"/>
  <c r="AY175" i="22"/>
  <c r="AY176" i="22"/>
  <c r="AY177" i="22"/>
  <c r="AY178" i="22"/>
  <c r="AY179" i="22"/>
  <c r="AY180" i="22"/>
  <c r="AY181" i="22"/>
  <c r="AY182" i="22"/>
  <c r="AY183" i="22"/>
  <c r="AY184" i="22"/>
  <c r="AY185" i="22"/>
  <c r="AY186" i="22"/>
  <c r="AY187" i="22"/>
  <c r="AY188" i="22"/>
  <c r="AY189" i="22"/>
  <c r="AY190" i="22"/>
  <c r="AY191" i="22"/>
  <c r="AY192" i="22"/>
  <c r="AY193" i="22"/>
  <c r="AY194" i="22"/>
  <c r="AY195" i="22"/>
  <c r="AY196" i="22"/>
  <c r="AY197" i="22"/>
  <c r="AY198" i="22"/>
  <c r="AY199" i="22"/>
  <c r="AY200" i="22"/>
  <c r="AY201" i="22"/>
  <c r="AP4" i="22"/>
  <c r="AP5" i="22"/>
  <c r="AP6" i="22"/>
  <c r="AP7" i="22"/>
  <c r="AP8" i="22"/>
  <c r="AP9" i="22"/>
  <c r="AP10" i="22"/>
  <c r="AP11" i="22"/>
  <c r="AP12" i="22"/>
  <c r="AP13" i="22"/>
  <c r="AP14" i="22"/>
  <c r="AP15" i="22"/>
  <c r="AP16" i="22"/>
  <c r="AP17" i="22"/>
  <c r="AP18" i="22"/>
  <c r="AP19" i="22"/>
  <c r="AP20" i="22"/>
  <c r="AP21" i="22"/>
  <c r="AP22" i="22"/>
  <c r="AP23" i="22"/>
  <c r="AP24" i="22"/>
  <c r="AP25" i="22"/>
  <c r="AP26" i="22"/>
  <c r="AP27" i="22"/>
  <c r="AP28" i="22"/>
  <c r="AP29" i="22"/>
  <c r="AP30" i="22"/>
  <c r="AP31" i="22"/>
  <c r="AP32" i="22"/>
  <c r="AP33" i="22"/>
  <c r="AP34" i="22"/>
  <c r="AP35" i="22"/>
  <c r="AP36" i="22"/>
  <c r="AP37" i="22"/>
  <c r="AP38" i="22"/>
  <c r="AP39" i="22"/>
  <c r="AP40" i="22"/>
  <c r="AP41" i="22"/>
  <c r="AP42" i="22"/>
  <c r="AP43" i="22"/>
  <c r="AP44" i="22"/>
  <c r="AP45" i="22"/>
  <c r="AP46" i="22"/>
  <c r="AP47" i="22"/>
  <c r="AP48" i="22"/>
  <c r="AP49" i="22"/>
  <c r="AP50" i="22"/>
  <c r="AP51" i="22"/>
  <c r="AP52" i="22"/>
  <c r="AP53" i="22"/>
  <c r="AP54" i="22"/>
  <c r="AP55" i="22"/>
  <c r="AP56" i="22"/>
  <c r="AP57" i="22"/>
  <c r="AP58" i="22"/>
  <c r="AP59" i="22"/>
  <c r="AP60" i="22"/>
  <c r="AP61" i="22"/>
  <c r="AP62" i="22"/>
  <c r="AP63" i="22"/>
  <c r="AP64" i="22"/>
  <c r="AP65" i="22"/>
  <c r="AP66" i="22"/>
  <c r="AP67" i="22"/>
  <c r="AP68" i="22"/>
  <c r="AP69" i="22"/>
  <c r="AP70" i="22"/>
  <c r="AP71" i="22"/>
  <c r="AP72" i="22"/>
  <c r="AP73" i="22"/>
  <c r="AP74" i="22"/>
  <c r="AP75" i="22"/>
  <c r="AP76" i="22"/>
  <c r="AP77" i="22"/>
  <c r="AP78" i="22"/>
  <c r="AP79" i="22"/>
  <c r="AP80" i="22"/>
  <c r="AP81" i="22"/>
  <c r="AP82" i="22"/>
  <c r="AP83" i="22"/>
  <c r="AP84" i="22"/>
  <c r="AP85" i="22"/>
  <c r="AP86" i="22"/>
  <c r="AP87" i="22"/>
  <c r="AP88" i="22"/>
  <c r="AP89" i="22"/>
  <c r="AP90" i="22"/>
  <c r="AP91" i="22"/>
  <c r="AP92" i="22"/>
  <c r="AP93" i="22"/>
  <c r="AP94" i="22"/>
  <c r="AP95" i="22"/>
  <c r="AP96" i="22"/>
  <c r="AP97" i="22"/>
  <c r="AP98" i="22"/>
  <c r="AP99" i="22"/>
  <c r="AP100" i="22"/>
  <c r="AP101" i="22"/>
  <c r="AP102" i="22"/>
  <c r="AP103" i="22"/>
  <c r="AP104" i="22"/>
  <c r="AP105" i="22"/>
  <c r="AP106" i="22"/>
  <c r="AP107" i="22"/>
  <c r="AP108" i="22"/>
  <c r="AP109" i="22"/>
  <c r="AP110" i="22"/>
  <c r="AP111" i="22"/>
  <c r="AP112" i="22"/>
  <c r="AP113" i="22"/>
  <c r="AP114" i="22"/>
  <c r="AP115" i="22"/>
  <c r="AP116" i="22"/>
  <c r="AP117" i="22"/>
  <c r="AP118" i="22"/>
  <c r="AP119" i="22"/>
  <c r="AP120" i="22"/>
  <c r="AP121" i="22"/>
  <c r="AP122" i="22"/>
  <c r="AP123" i="22"/>
  <c r="AP124" i="22"/>
  <c r="AP125" i="22"/>
  <c r="AP126" i="22"/>
  <c r="AP127" i="22"/>
  <c r="AP128" i="22"/>
  <c r="AP129" i="22"/>
  <c r="AP130" i="22"/>
  <c r="AP131" i="22"/>
  <c r="AP132" i="22"/>
  <c r="AP133" i="22"/>
  <c r="AP134" i="22"/>
  <c r="AP135" i="22"/>
  <c r="AP136" i="22"/>
  <c r="AP137" i="22"/>
  <c r="AP138" i="22"/>
  <c r="AP139" i="22"/>
  <c r="AP140" i="22"/>
  <c r="AP141" i="22"/>
  <c r="AP142" i="22"/>
  <c r="AP143" i="22"/>
  <c r="AP144" i="22"/>
  <c r="AP145" i="22"/>
  <c r="AP146" i="22"/>
  <c r="AP147" i="22"/>
  <c r="AP148" i="22"/>
  <c r="AP149" i="22"/>
  <c r="AP150" i="22"/>
  <c r="AP151" i="22"/>
  <c r="AP152" i="22"/>
  <c r="AP153" i="22"/>
  <c r="AP154" i="22"/>
  <c r="AP155" i="22"/>
  <c r="AP156" i="22"/>
  <c r="AP157" i="22"/>
  <c r="AP158" i="22"/>
  <c r="AP159" i="22"/>
  <c r="AP160" i="22"/>
  <c r="AP161" i="22"/>
  <c r="AP162" i="22"/>
  <c r="AP163" i="22"/>
  <c r="AP164" i="22"/>
  <c r="AP165" i="22"/>
  <c r="AP166" i="22"/>
  <c r="AP167" i="22"/>
  <c r="AP168" i="22"/>
  <c r="AP169" i="22"/>
  <c r="AP170" i="22"/>
  <c r="AP171" i="22"/>
  <c r="AP172" i="22"/>
  <c r="AP173" i="22"/>
  <c r="AP174" i="22"/>
  <c r="AP175" i="22"/>
  <c r="AP176" i="22"/>
  <c r="AP177" i="22"/>
  <c r="AP178" i="22"/>
  <c r="AP179" i="22"/>
  <c r="AP180" i="22"/>
  <c r="AP181" i="22"/>
  <c r="AP182" i="22"/>
  <c r="AP183" i="22"/>
  <c r="AP184" i="22"/>
  <c r="AP185" i="22"/>
  <c r="AP186" i="22"/>
  <c r="AP187" i="22"/>
  <c r="AP188" i="22"/>
  <c r="AP189" i="22"/>
  <c r="AP190" i="22"/>
  <c r="AP191" i="22"/>
  <c r="AP192" i="22"/>
  <c r="AP193" i="22"/>
  <c r="AP194" i="22"/>
  <c r="AP195" i="22"/>
  <c r="AP196" i="22"/>
  <c r="AP197" i="22"/>
  <c r="AP198" i="22"/>
  <c r="AP199" i="22"/>
  <c r="AP200" i="22"/>
  <c r="AP201" i="22"/>
  <c r="AL4" i="22"/>
  <c r="AL5" i="22"/>
  <c r="AL6" i="22"/>
  <c r="AL7" i="22"/>
  <c r="AL8" i="22"/>
  <c r="AL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30" i="22"/>
  <c r="AL31" i="22"/>
  <c r="AL32" i="22"/>
  <c r="AL33" i="22"/>
  <c r="AL34" i="22"/>
  <c r="AL35" i="22"/>
  <c r="AL36" i="22"/>
  <c r="AL37" i="22"/>
  <c r="AL38" i="22"/>
  <c r="AL39" i="22"/>
  <c r="AL40" i="22"/>
  <c r="AL41" i="22"/>
  <c r="AL42" i="22"/>
  <c r="AL43" i="22"/>
  <c r="AL44" i="22"/>
  <c r="AL45" i="22"/>
  <c r="AL46" i="22"/>
  <c r="AL47" i="22"/>
  <c r="AL48" i="22"/>
  <c r="AL49" i="22"/>
  <c r="AL50" i="22"/>
  <c r="AL51" i="22"/>
  <c r="AL52" i="22"/>
  <c r="AL53" i="22"/>
  <c r="AL54" i="22"/>
  <c r="AL55" i="22"/>
  <c r="AL56" i="22"/>
  <c r="AL57" i="22"/>
  <c r="AL58" i="22"/>
  <c r="AL59" i="22"/>
  <c r="AL60" i="22"/>
  <c r="AL61" i="22"/>
  <c r="AL62" i="22"/>
  <c r="AL63" i="22"/>
  <c r="AL64" i="22"/>
  <c r="AL65" i="22"/>
  <c r="AL66" i="22"/>
  <c r="AL67" i="22"/>
  <c r="AL68" i="22"/>
  <c r="AL69" i="22"/>
  <c r="AL70" i="22"/>
  <c r="AL71" i="22"/>
  <c r="AL72" i="22"/>
  <c r="AL73" i="22"/>
  <c r="AL74" i="22"/>
  <c r="AL75" i="22"/>
  <c r="AL76" i="22"/>
  <c r="AL77" i="22"/>
  <c r="AL78" i="22"/>
  <c r="AL79" i="22"/>
  <c r="AL80" i="22"/>
  <c r="AL81" i="22"/>
  <c r="AL82" i="22"/>
  <c r="AL83" i="22"/>
  <c r="AL84" i="22"/>
  <c r="AL85" i="22"/>
  <c r="AL86" i="22"/>
  <c r="AL87" i="22"/>
  <c r="AL88" i="22"/>
  <c r="AL89" i="22"/>
  <c r="AL90" i="22"/>
  <c r="AL91" i="22"/>
  <c r="AL92" i="22"/>
  <c r="AL93" i="22"/>
  <c r="AL94" i="22"/>
  <c r="AL95" i="22"/>
  <c r="AL96" i="22"/>
  <c r="AL97" i="22"/>
  <c r="AL98" i="22"/>
  <c r="AL99" i="22"/>
  <c r="AL100" i="22"/>
  <c r="AL101" i="22"/>
  <c r="AL102" i="22"/>
  <c r="AL103" i="22"/>
  <c r="AL104" i="22"/>
  <c r="AL105" i="22"/>
  <c r="AL106" i="22"/>
  <c r="AL107" i="22"/>
  <c r="AL108" i="22"/>
  <c r="AL109" i="22"/>
  <c r="AL110" i="22"/>
  <c r="AL111" i="22"/>
  <c r="AL112" i="22"/>
  <c r="AL113" i="22"/>
  <c r="AL114" i="22"/>
  <c r="AL115" i="22"/>
  <c r="AL116" i="22"/>
  <c r="AL117" i="22"/>
  <c r="AL118" i="22"/>
  <c r="AL119" i="22"/>
  <c r="AL120" i="22"/>
  <c r="AL121" i="22"/>
  <c r="AL122" i="22"/>
  <c r="AL123" i="22"/>
  <c r="AL124" i="22"/>
  <c r="AL125" i="22"/>
  <c r="AL126" i="22"/>
  <c r="AL127" i="22"/>
  <c r="AL128" i="22"/>
  <c r="AL129" i="22"/>
  <c r="AL130" i="22"/>
  <c r="AL131" i="22"/>
  <c r="AL132" i="22"/>
  <c r="AL133" i="22"/>
  <c r="AL134" i="22"/>
  <c r="AL135" i="22"/>
  <c r="AL136" i="22"/>
  <c r="AL137" i="22"/>
  <c r="AL138" i="22"/>
  <c r="AL139" i="22"/>
  <c r="AL140" i="22"/>
  <c r="AL141" i="22"/>
  <c r="AL142" i="22"/>
  <c r="AL143" i="22"/>
  <c r="AL144" i="22"/>
  <c r="AL145" i="22"/>
  <c r="AL146" i="22"/>
  <c r="AL147" i="22"/>
  <c r="AL148" i="22"/>
  <c r="AL149" i="22"/>
  <c r="AL150" i="22"/>
  <c r="AL151" i="22"/>
  <c r="AL152" i="22"/>
  <c r="AL153" i="22"/>
  <c r="AL154" i="22"/>
  <c r="AL155" i="22"/>
  <c r="AL156" i="22"/>
  <c r="AL157" i="22"/>
  <c r="AL158" i="22"/>
  <c r="AL159" i="22"/>
  <c r="AL160" i="22"/>
  <c r="AL161" i="22"/>
  <c r="AL162" i="22"/>
  <c r="AL163" i="22"/>
  <c r="AL164" i="22"/>
  <c r="AL165" i="22"/>
  <c r="AL166" i="22"/>
  <c r="AL167" i="22"/>
  <c r="AL168" i="22"/>
  <c r="AL169" i="22"/>
  <c r="AL170" i="22"/>
  <c r="AL171" i="22"/>
  <c r="AL172" i="22"/>
  <c r="AL173" i="22"/>
  <c r="AL174" i="22"/>
  <c r="AL175" i="22"/>
  <c r="AL176" i="22"/>
  <c r="AL177" i="22"/>
  <c r="AL178" i="22"/>
  <c r="AL179" i="22"/>
  <c r="AL180" i="22"/>
  <c r="AL181" i="22"/>
  <c r="AL182" i="22"/>
  <c r="AL183" i="22"/>
  <c r="AL184" i="22"/>
  <c r="AL185" i="22"/>
  <c r="AL186" i="22"/>
  <c r="AL187" i="22"/>
  <c r="AL188" i="22"/>
  <c r="AL189" i="22"/>
  <c r="AL190" i="22"/>
  <c r="AL191" i="22"/>
  <c r="AL192" i="22"/>
  <c r="AL193" i="22"/>
  <c r="AL194" i="22"/>
  <c r="AL195" i="22"/>
  <c r="AL196" i="22"/>
  <c r="AL197" i="22"/>
  <c r="AL198" i="22"/>
  <c r="AL199" i="22"/>
  <c r="AL200" i="22"/>
  <c r="AL201" i="22"/>
  <c r="AH4" i="22"/>
  <c r="AH5" i="22"/>
  <c r="AH6" i="22"/>
  <c r="AH7" i="22"/>
  <c r="AH8" i="22"/>
  <c r="AH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H35" i="22"/>
  <c r="AH36" i="22"/>
  <c r="AH37" i="22"/>
  <c r="AH38" i="22"/>
  <c r="AH39" i="22"/>
  <c r="AH40" i="22"/>
  <c r="AH41" i="22"/>
  <c r="AH42" i="22"/>
  <c r="AH43" i="22"/>
  <c r="AH44" i="22"/>
  <c r="AH45" i="22"/>
  <c r="AH46" i="22"/>
  <c r="AH47" i="22"/>
  <c r="AH48" i="22"/>
  <c r="AH49" i="22"/>
  <c r="AH50" i="22"/>
  <c r="AH51" i="22"/>
  <c r="AH52" i="22"/>
  <c r="AH53" i="22"/>
  <c r="AH54" i="22"/>
  <c r="AH55" i="22"/>
  <c r="AH56" i="22"/>
  <c r="AH57" i="22"/>
  <c r="AH58" i="22"/>
  <c r="AH59" i="22"/>
  <c r="AH60" i="22"/>
  <c r="AH61" i="22"/>
  <c r="AH62" i="22"/>
  <c r="AH63" i="22"/>
  <c r="AH64" i="22"/>
  <c r="AH65" i="22"/>
  <c r="AH66" i="22"/>
  <c r="AH67" i="22"/>
  <c r="AH68" i="22"/>
  <c r="AH69" i="22"/>
  <c r="AH70" i="22"/>
  <c r="AH71" i="22"/>
  <c r="AH72" i="22"/>
  <c r="AH73" i="22"/>
  <c r="AH74" i="22"/>
  <c r="AH75" i="22"/>
  <c r="AH76" i="22"/>
  <c r="AH77" i="22"/>
  <c r="AH78" i="22"/>
  <c r="AH79" i="22"/>
  <c r="AH80" i="22"/>
  <c r="AH81" i="22"/>
  <c r="AH82" i="22"/>
  <c r="AH83" i="22"/>
  <c r="AH84" i="22"/>
  <c r="AH85" i="22"/>
  <c r="AH86" i="22"/>
  <c r="AH87" i="22"/>
  <c r="AH88" i="22"/>
  <c r="AH89" i="22"/>
  <c r="AH90" i="22"/>
  <c r="AH91" i="22"/>
  <c r="AH92" i="22"/>
  <c r="AH93" i="22"/>
  <c r="AH94" i="22"/>
  <c r="AH95" i="22"/>
  <c r="AH96" i="22"/>
  <c r="AH97" i="22"/>
  <c r="AH98" i="22"/>
  <c r="AH99" i="22"/>
  <c r="AH100" i="22"/>
  <c r="AH101" i="22"/>
  <c r="AH102" i="22"/>
  <c r="AH103" i="22"/>
  <c r="AH104" i="22"/>
  <c r="AH105" i="22"/>
  <c r="AH106" i="22"/>
  <c r="AH107" i="22"/>
  <c r="AH108" i="22"/>
  <c r="AH109" i="22"/>
  <c r="AH110" i="22"/>
  <c r="AH111" i="22"/>
  <c r="AH112" i="22"/>
  <c r="AH113" i="22"/>
  <c r="AH114" i="22"/>
  <c r="AH115" i="22"/>
  <c r="AH116" i="22"/>
  <c r="AH117" i="22"/>
  <c r="AH118" i="22"/>
  <c r="AH119" i="22"/>
  <c r="AH120" i="22"/>
  <c r="AH121" i="22"/>
  <c r="AH122" i="22"/>
  <c r="AH123" i="22"/>
  <c r="AH124" i="22"/>
  <c r="AH125" i="22"/>
  <c r="AH126" i="22"/>
  <c r="AH127" i="22"/>
  <c r="AH128" i="22"/>
  <c r="AH129" i="22"/>
  <c r="AH130" i="22"/>
  <c r="AH131" i="22"/>
  <c r="AH132" i="22"/>
  <c r="AH133" i="22"/>
  <c r="AH134" i="22"/>
  <c r="AH135" i="22"/>
  <c r="AH136" i="22"/>
  <c r="AH137" i="22"/>
  <c r="AH138" i="22"/>
  <c r="AH139" i="22"/>
  <c r="AH140" i="22"/>
  <c r="AH141" i="22"/>
  <c r="AH142" i="22"/>
  <c r="AH143" i="22"/>
  <c r="AH144" i="22"/>
  <c r="AH145" i="22"/>
  <c r="AH146" i="22"/>
  <c r="AH147" i="22"/>
  <c r="AH148" i="22"/>
  <c r="AH149" i="22"/>
  <c r="AH150" i="22"/>
  <c r="AH151" i="22"/>
  <c r="AH152" i="22"/>
  <c r="AH153" i="22"/>
  <c r="AH154" i="22"/>
  <c r="AH155" i="22"/>
  <c r="AH156" i="22"/>
  <c r="AH157" i="22"/>
  <c r="AH158" i="22"/>
  <c r="AH159" i="22"/>
  <c r="AH160" i="22"/>
  <c r="AH161" i="22"/>
  <c r="AH162" i="22"/>
  <c r="AH163" i="22"/>
  <c r="AH164" i="22"/>
  <c r="AH165" i="22"/>
  <c r="AH166" i="22"/>
  <c r="AH167" i="22"/>
  <c r="AH168" i="22"/>
  <c r="AH169" i="22"/>
  <c r="AH170" i="22"/>
  <c r="AH171" i="22"/>
  <c r="AH172" i="22"/>
  <c r="AH173" i="22"/>
  <c r="AH174" i="22"/>
  <c r="AH175" i="22"/>
  <c r="AH176" i="22"/>
  <c r="AH177" i="22"/>
  <c r="AH178" i="22"/>
  <c r="AH179" i="22"/>
  <c r="AH180" i="22"/>
  <c r="AH181" i="22"/>
  <c r="AH182" i="22"/>
  <c r="AH183" i="22"/>
  <c r="AH184" i="22"/>
  <c r="AH185" i="22"/>
  <c r="AH186" i="22"/>
  <c r="AH187" i="22"/>
  <c r="AH188" i="22"/>
  <c r="AH189" i="22"/>
  <c r="AH190" i="22"/>
  <c r="AH191" i="22"/>
  <c r="AH192" i="22"/>
  <c r="AH193" i="22"/>
  <c r="AH194" i="22"/>
  <c r="AH195" i="22"/>
  <c r="AH196" i="22"/>
  <c r="AH197" i="22"/>
  <c r="AH198" i="22"/>
  <c r="AH199" i="22"/>
  <c r="AH200" i="22"/>
  <c r="AH201" i="22"/>
  <c r="Y4" i="22"/>
  <c r="Y5" i="22"/>
  <c r="Y6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76" i="22"/>
  <c r="Y77" i="22"/>
  <c r="Y78" i="22"/>
  <c r="Y79" i="22"/>
  <c r="Y80" i="22"/>
  <c r="Y81" i="22"/>
  <c r="Y82" i="22"/>
  <c r="Y83" i="22"/>
  <c r="Y84" i="22"/>
  <c r="Y85" i="22"/>
  <c r="Y86" i="22"/>
  <c r="Y87" i="22"/>
  <c r="Y88" i="22"/>
  <c r="Y89" i="22"/>
  <c r="Y90" i="22"/>
  <c r="Y91" i="22"/>
  <c r="Y92" i="22"/>
  <c r="Y93" i="22"/>
  <c r="Y94" i="22"/>
  <c r="Y95" i="22"/>
  <c r="Y96" i="22"/>
  <c r="Y97" i="22"/>
  <c r="Y98" i="22"/>
  <c r="Y99" i="22"/>
  <c r="Y100" i="22"/>
  <c r="Y101" i="22"/>
  <c r="Y102" i="22"/>
  <c r="Y103" i="22"/>
  <c r="Y104" i="22"/>
  <c r="Y105" i="22"/>
  <c r="Y106" i="22"/>
  <c r="Y107" i="22"/>
  <c r="Y108" i="22"/>
  <c r="Y109" i="22"/>
  <c r="Y110" i="22"/>
  <c r="Y111" i="22"/>
  <c r="Y112" i="22"/>
  <c r="Y113" i="22"/>
  <c r="Y114" i="22"/>
  <c r="Y115" i="22"/>
  <c r="Y116" i="22"/>
  <c r="Y117" i="22"/>
  <c r="Y118" i="22"/>
  <c r="Y119" i="22"/>
  <c r="Y120" i="22"/>
  <c r="Y121" i="22"/>
  <c r="Y122" i="22"/>
  <c r="Y123" i="22"/>
  <c r="Y124" i="22"/>
  <c r="Y125" i="22"/>
  <c r="Y126" i="22"/>
  <c r="Y127" i="22"/>
  <c r="Y128" i="22"/>
  <c r="Y129" i="22"/>
  <c r="Y130" i="22"/>
  <c r="Y131" i="22"/>
  <c r="Y132" i="22"/>
  <c r="Y133" i="22"/>
  <c r="Y134" i="22"/>
  <c r="Y135" i="22"/>
  <c r="Y136" i="22"/>
  <c r="Y137" i="22"/>
  <c r="Y138" i="22"/>
  <c r="Y139" i="22"/>
  <c r="Y140" i="22"/>
  <c r="Y141" i="22"/>
  <c r="Y142" i="22"/>
  <c r="Y143" i="22"/>
  <c r="Y144" i="22"/>
  <c r="Y145" i="22"/>
  <c r="Y146" i="22"/>
  <c r="Y147" i="22"/>
  <c r="Y148" i="22"/>
  <c r="Y149" i="22"/>
  <c r="Y150" i="22"/>
  <c r="Y151" i="22"/>
  <c r="Y152" i="22"/>
  <c r="Y153" i="22"/>
  <c r="Y154" i="22"/>
  <c r="Y155" i="22"/>
  <c r="Y156" i="22"/>
  <c r="Y157" i="22"/>
  <c r="Y158" i="22"/>
  <c r="Y159" i="22"/>
  <c r="Y160" i="22"/>
  <c r="Y161" i="22"/>
  <c r="Y162" i="22"/>
  <c r="Y163" i="22"/>
  <c r="Y164" i="22"/>
  <c r="Y165" i="22"/>
  <c r="Y166" i="22"/>
  <c r="Y167" i="22"/>
  <c r="Y168" i="22"/>
  <c r="Y169" i="22"/>
  <c r="Y170" i="22"/>
  <c r="Y171" i="22"/>
  <c r="Y172" i="22"/>
  <c r="Y173" i="22"/>
  <c r="Y174" i="22"/>
  <c r="Y175" i="22"/>
  <c r="Y176" i="22"/>
  <c r="Y177" i="22"/>
  <c r="Y178" i="22"/>
  <c r="Y179" i="22"/>
  <c r="Y180" i="22"/>
  <c r="Y181" i="22"/>
  <c r="Y182" i="22"/>
  <c r="Y183" i="22"/>
  <c r="Y184" i="22"/>
  <c r="Y185" i="22"/>
  <c r="Y186" i="22"/>
  <c r="Y187" i="22"/>
  <c r="Y188" i="22"/>
  <c r="Y189" i="22"/>
  <c r="Y190" i="22"/>
  <c r="Y191" i="22"/>
  <c r="Y192" i="22"/>
  <c r="Y193" i="22"/>
  <c r="Y194" i="22"/>
  <c r="Y195" i="22"/>
  <c r="Y196" i="22"/>
  <c r="Y197" i="22"/>
  <c r="Y198" i="22"/>
  <c r="Y199" i="22"/>
  <c r="Y200" i="22"/>
  <c r="Y201" i="22"/>
  <c r="U4" i="22"/>
  <c r="U5" i="22"/>
  <c r="U6" i="22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U72" i="22"/>
  <c r="U73" i="22"/>
  <c r="U74" i="22"/>
  <c r="U75" i="22"/>
  <c r="U76" i="22"/>
  <c r="U77" i="22"/>
  <c r="U78" i="22"/>
  <c r="U79" i="22"/>
  <c r="U80" i="22"/>
  <c r="U81" i="22"/>
  <c r="U82" i="22"/>
  <c r="U83" i="22"/>
  <c r="U84" i="22"/>
  <c r="U85" i="22"/>
  <c r="U86" i="22"/>
  <c r="U87" i="22"/>
  <c r="U88" i="22"/>
  <c r="U89" i="22"/>
  <c r="U90" i="22"/>
  <c r="U91" i="22"/>
  <c r="U92" i="22"/>
  <c r="U93" i="22"/>
  <c r="U94" i="22"/>
  <c r="U95" i="22"/>
  <c r="U96" i="22"/>
  <c r="U97" i="22"/>
  <c r="U98" i="22"/>
  <c r="U99" i="22"/>
  <c r="U100" i="22"/>
  <c r="U101" i="22"/>
  <c r="U102" i="22"/>
  <c r="U103" i="22"/>
  <c r="U104" i="22"/>
  <c r="U105" i="22"/>
  <c r="U106" i="22"/>
  <c r="U107" i="22"/>
  <c r="U108" i="22"/>
  <c r="U109" i="22"/>
  <c r="U110" i="22"/>
  <c r="U111" i="22"/>
  <c r="U112" i="22"/>
  <c r="U113" i="22"/>
  <c r="U114" i="22"/>
  <c r="U115" i="22"/>
  <c r="U116" i="22"/>
  <c r="U117" i="22"/>
  <c r="U118" i="22"/>
  <c r="U119" i="22"/>
  <c r="U120" i="22"/>
  <c r="U121" i="22"/>
  <c r="U122" i="22"/>
  <c r="U123" i="22"/>
  <c r="U124" i="22"/>
  <c r="U125" i="22"/>
  <c r="U126" i="22"/>
  <c r="U127" i="22"/>
  <c r="U128" i="22"/>
  <c r="U129" i="22"/>
  <c r="U130" i="22"/>
  <c r="U131" i="22"/>
  <c r="U132" i="22"/>
  <c r="U133" i="22"/>
  <c r="U134" i="22"/>
  <c r="U135" i="22"/>
  <c r="U136" i="22"/>
  <c r="U137" i="22"/>
  <c r="U138" i="22"/>
  <c r="U139" i="22"/>
  <c r="U140" i="22"/>
  <c r="U141" i="22"/>
  <c r="U142" i="22"/>
  <c r="U143" i="22"/>
  <c r="U144" i="22"/>
  <c r="U145" i="22"/>
  <c r="U146" i="22"/>
  <c r="U147" i="22"/>
  <c r="U148" i="22"/>
  <c r="U149" i="22"/>
  <c r="U150" i="22"/>
  <c r="U151" i="22"/>
  <c r="U152" i="22"/>
  <c r="U153" i="22"/>
  <c r="U154" i="22"/>
  <c r="U155" i="22"/>
  <c r="U156" i="22"/>
  <c r="U157" i="22"/>
  <c r="U158" i="22"/>
  <c r="U159" i="22"/>
  <c r="U160" i="22"/>
  <c r="U161" i="22"/>
  <c r="U162" i="22"/>
  <c r="U163" i="22"/>
  <c r="U164" i="22"/>
  <c r="U165" i="22"/>
  <c r="U166" i="22"/>
  <c r="U167" i="22"/>
  <c r="U168" i="22"/>
  <c r="U169" i="22"/>
  <c r="U170" i="22"/>
  <c r="U171" i="22"/>
  <c r="U172" i="22"/>
  <c r="U173" i="22"/>
  <c r="U174" i="22"/>
  <c r="U175" i="22"/>
  <c r="U176" i="22"/>
  <c r="U177" i="22"/>
  <c r="U178" i="22"/>
  <c r="U179" i="22"/>
  <c r="U180" i="22"/>
  <c r="U181" i="22"/>
  <c r="U182" i="22"/>
  <c r="U183" i="22"/>
  <c r="U184" i="22"/>
  <c r="U185" i="22"/>
  <c r="U186" i="22"/>
  <c r="U187" i="22"/>
  <c r="U188" i="22"/>
  <c r="U189" i="22"/>
  <c r="U190" i="22"/>
  <c r="U191" i="22"/>
  <c r="U192" i="22"/>
  <c r="U193" i="22"/>
  <c r="U194" i="22"/>
  <c r="U195" i="22"/>
  <c r="U196" i="22"/>
  <c r="U197" i="22"/>
  <c r="U198" i="22"/>
  <c r="U199" i="22"/>
  <c r="U200" i="22"/>
  <c r="U201" i="22"/>
  <c r="Q4" i="22"/>
  <c r="Q5" i="22"/>
  <c r="Q6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5" i="22"/>
  <c r="Q106" i="22"/>
  <c r="Q107" i="22"/>
  <c r="Q108" i="22"/>
  <c r="Q109" i="22"/>
  <c r="Q110" i="22"/>
  <c r="Q111" i="22"/>
  <c r="Q112" i="22"/>
  <c r="Q113" i="22"/>
  <c r="Q114" i="22"/>
  <c r="Q115" i="22"/>
  <c r="Q116" i="22"/>
  <c r="Q117" i="22"/>
  <c r="Q118" i="22"/>
  <c r="Q119" i="22"/>
  <c r="Q120" i="22"/>
  <c r="Q121" i="22"/>
  <c r="Q122" i="22"/>
  <c r="Q123" i="22"/>
  <c r="Q124" i="22"/>
  <c r="Q125" i="22"/>
  <c r="Q126" i="22"/>
  <c r="Q127" i="22"/>
  <c r="Q128" i="22"/>
  <c r="Q129" i="22"/>
  <c r="Q130" i="22"/>
  <c r="Q131" i="22"/>
  <c r="Q132" i="22"/>
  <c r="Q133" i="22"/>
  <c r="Q134" i="22"/>
  <c r="Q135" i="22"/>
  <c r="Q136" i="22"/>
  <c r="Q137" i="22"/>
  <c r="Q138" i="22"/>
  <c r="Q139" i="22"/>
  <c r="Q140" i="22"/>
  <c r="Q141" i="22"/>
  <c r="Q142" i="22"/>
  <c r="Q143" i="22"/>
  <c r="Q144" i="22"/>
  <c r="Q145" i="22"/>
  <c r="Q146" i="22"/>
  <c r="Q147" i="22"/>
  <c r="Q148" i="22"/>
  <c r="Q149" i="22"/>
  <c r="Q150" i="22"/>
  <c r="Q151" i="22"/>
  <c r="Q152" i="22"/>
  <c r="Q153" i="22"/>
  <c r="Q154" i="22"/>
  <c r="Q155" i="22"/>
  <c r="Q156" i="22"/>
  <c r="Q157" i="22"/>
  <c r="Q158" i="22"/>
  <c r="Q159" i="22"/>
  <c r="Q160" i="22"/>
  <c r="Q161" i="22"/>
  <c r="Q162" i="22"/>
  <c r="Q163" i="22"/>
  <c r="Q164" i="22"/>
  <c r="Q165" i="22"/>
  <c r="Q166" i="22"/>
  <c r="Q167" i="22"/>
  <c r="Q168" i="22"/>
  <c r="Q169" i="22"/>
  <c r="Q170" i="22"/>
  <c r="Q171" i="22"/>
  <c r="Q172" i="22"/>
  <c r="Q173" i="22"/>
  <c r="Q174" i="22"/>
  <c r="Q175" i="22"/>
  <c r="Q176" i="22"/>
  <c r="Q177" i="22"/>
  <c r="Q178" i="22"/>
  <c r="Q179" i="22"/>
  <c r="Q180" i="22"/>
  <c r="Q181" i="22"/>
  <c r="Q182" i="22"/>
  <c r="Q183" i="22"/>
  <c r="Q184" i="22"/>
  <c r="Q185" i="22"/>
  <c r="Q186" i="22"/>
  <c r="Q187" i="22"/>
  <c r="Q188" i="22"/>
  <c r="Q189" i="22"/>
  <c r="Q190" i="22"/>
  <c r="Q191" i="22"/>
  <c r="Q192" i="22"/>
  <c r="Q193" i="22"/>
  <c r="Q194" i="22"/>
  <c r="Q195" i="22"/>
  <c r="Q196" i="22"/>
  <c r="Q197" i="22"/>
  <c r="Q198" i="22"/>
  <c r="Q199" i="22"/>
  <c r="Q200" i="22"/>
  <c r="Q201" i="22"/>
  <c r="BG4" i="21"/>
  <c r="BG5" i="21"/>
  <c r="BG6" i="21"/>
  <c r="BG7" i="21"/>
  <c r="BG8" i="21"/>
  <c r="BG9" i="21"/>
  <c r="BG10" i="21"/>
  <c r="BG11" i="21"/>
  <c r="BG12" i="21"/>
  <c r="BG13" i="21"/>
  <c r="BG14" i="21"/>
  <c r="BG15" i="21"/>
  <c r="BG16" i="21"/>
  <c r="BG17" i="21"/>
  <c r="BG18" i="21"/>
  <c r="BG19" i="21"/>
  <c r="BG20" i="21"/>
  <c r="BG21" i="21"/>
  <c r="BG22" i="21"/>
  <c r="BG23" i="21"/>
  <c r="BG24" i="21"/>
  <c r="BG25" i="21"/>
  <c r="BG26" i="21"/>
  <c r="BG27" i="21"/>
  <c r="BG28" i="21"/>
  <c r="BG29" i="21"/>
  <c r="BG30" i="21"/>
  <c r="BG31" i="21"/>
  <c r="BG32" i="21"/>
  <c r="BG33" i="21"/>
  <c r="BG34" i="21"/>
  <c r="BG35" i="21"/>
  <c r="BG36" i="21"/>
  <c r="BG37" i="21"/>
  <c r="BG38" i="21"/>
  <c r="BG39" i="21"/>
  <c r="BG40" i="21"/>
  <c r="BG41" i="21"/>
  <c r="BG42" i="21"/>
  <c r="BG43" i="21"/>
  <c r="BG44" i="21"/>
  <c r="BG45" i="21"/>
  <c r="BG46" i="21"/>
  <c r="BG47" i="21"/>
  <c r="BG48" i="21"/>
  <c r="BG49" i="21"/>
  <c r="BG50" i="21"/>
  <c r="BG51" i="21"/>
  <c r="BG52" i="21"/>
  <c r="BG53" i="21"/>
  <c r="BG54" i="21"/>
  <c r="BG55" i="21"/>
  <c r="BG56" i="21"/>
  <c r="BG57" i="21"/>
  <c r="BG58" i="21"/>
  <c r="BG59" i="21"/>
  <c r="BG60" i="21"/>
  <c r="BG61" i="21"/>
  <c r="BG62" i="21"/>
  <c r="BG63" i="21"/>
  <c r="BG64" i="21"/>
  <c r="BG65" i="21"/>
  <c r="BG66" i="21"/>
  <c r="BG67" i="21"/>
  <c r="BG68" i="21"/>
  <c r="BG69" i="21"/>
  <c r="BG70" i="21"/>
  <c r="BG71" i="21"/>
  <c r="BG72" i="21"/>
  <c r="BG73" i="21"/>
  <c r="BG74" i="21"/>
  <c r="BG75" i="21"/>
  <c r="BG76" i="21"/>
  <c r="BG77" i="21"/>
  <c r="BG78" i="21"/>
  <c r="BG79" i="21"/>
  <c r="BG80" i="21"/>
  <c r="BG81" i="21"/>
  <c r="BG82" i="21"/>
  <c r="BG83" i="21"/>
  <c r="BG84" i="21"/>
  <c r="BG85" i="21"/>
  <c r="BG86" i="21"/>
  <c r="BG87" i="21"/>
  <c r="BG88" i="21"/>
  <c r="BG89" i="21"/>
  <c r="BG90" i="21"/>
  <c r="BG91" i="21"/>
  <c r="BG92" i="21"/>
  <c r="BG93" i="21"/>
  <c r="BG94" i="21"/>
  <c r="BG95" i="21"/>
  <c r="BG96" i="21"/>
  <c r="BG97" i="21"/>
  <c r="BG98" i="21"/>
  <c r="BG99" i="21"/>
  <c r="BG100" i="21"/>
  <c r="BG101" i="21"/>
  <c r="BG102" i="21"/>
  <c r="BG103" i="21"/>
  <c r="BG104" i="21"/>
  <c r="BG105" i="21"/>
  <c r="BG106" i="21"/>
  <c r="BG107" i="21"/>
  <c r="BG108" i="21"/>
  <c r="BG109" i="21"/>
  <c r="BG110" i="21"/>
  <c r="BG111" i="21"/>
  <c r="BG112" i="21"/>
  <c r="BG113" i="21"/>
  <c r="BG114" i="21"/>
  <c r="BG115" i="21"/>
  <c r="BG116" i="21"/>
  <c r="BG117" i="21"/>
  <c r="BG118" i="21"/>
  <c r="BG119" i="21"/>
  <c r="BG120" i="21"/>
  <c r="BG121" i="21"/>
  <c r="BG122" i="21"/>
  <c r="BG123" i="21"/>
  <c r="BG124" i="21"/>
  <c r="BG125" i="21"/>
  <c r="BG126" i="21"/>
  <c r="BG127" i="21"/>
  <c r="BG128" i="21"/>
  <c r="BG129" i="21"/>
  <c r="BG130" i="21"/>
  <c r="BG131" i="21"/>
  <c r="BG132" i="21"/>
  <c r="BG133" i="21"/>
  <c r="BG134" i="21"/>
  <c r="BG135" i="21"/>
  <c r="BG136" i="21"/>
  <c r="BG137" i="21"/>
  <c r="BG138" i="21"/>
  <c r="BG139" i="21"/>
  <c r="BG140" i="21"/>
  <c r="BG141" i="21"/>
  <c r="BG142" i="21"/>
  <c r="BG143" i="21"/>
  <c r="BG144" i="21"/>
  <c r="BG145" i="21"/>
  <c r="BG146" i="21"/>
  <c r="BG147" i="21"/>
  <c r="BG148" i="21"/>
  <c r="BG149" i="21"/>
  <c r="BG150" i="21"/>
  <c r="BG151" i="21"/>
  <c r="BG152" i="21"/>
  <c r="BG153" i="21"/>
  <c r="BG154" i="21"/>
  <c r="BG155" i="21"/>
  <c r="BG156" i="21"/>
  <c r="BG157" i="21"/>
  <c r="BG158" i="21"/>
  <c r="BG159" i="21"/>
  <c r="BG160" i="21"/>
  <c r="BG161" i="21"/>
  <c r="BG162" i="21"/>
  <c r="BG163" i="21"/>
  <c r="BG164" i="21"/>
  <c r="BG165" i="21"/>
  <c r="BG166" i="21"/>
  <c r="BG167" i="21"/>
  <c r="BG168" i="21"/>
  <c r="BG169" i="21"/>
  <c r="BG170" i="21"/>
  <c r="BG171" i="21"/>
  <c r="BG172" i="21"/>
  <c r="BG173" i="21"/>
  <c r="BG174" i="21"/>
  <c r="BG175" i="21"/>
  <c r="BG176" i="21"/>
  <c r="BG177" i="21"/>
  <c r="BG178" i="21"/>
  <c r="BG179" i="21"/>
  <c r="BG180" i="21"/>
  <c r="BG181" i="21"/>
  <c r="BG182" i="21"/>
  <c r="BG183" i="21"/>
  <c r="BG184" i="21"/>
  <c r="BG185" i="21"/>
  <c r="BG186" i="21"/>
  <c r="BG187" i="21"/>
  <c r="BG188" i="21"/>
  <c r="BG189" i="21"/>
  <c r="BG190" i="21"/>
  <c r="BG191" i="21"/>
  <c r="BG192" i="21"/>
  <c r="BG193" i="21"/>
  <c r="BG194" i="21"/>
  <c r="BG195" i="21"/>
  <c r="BG196" i="21"/>
  <c r="BG197" i="21"/>
  <c r="BG198" i="21"/>
  <c r="BG199" i="21"/>
  <c r="BG200" i="21"/>
  <c r="BG201" i="21"/>
  <c r="BC4" i="21"/>
  <c r="BC5" i="21"/>
  <c r="BC6" i="21"/>
  <c r="BC7" i="21"/>
  <c r="BC8" i="21"/>
  <c r="BC9" i="21"/>
  <c r="BC10" i="21"/>
  <c r="BC11" i="21"/>
  <c r="BC12" i="21"/>
  <c r="BC13" i="21"/>
  <c r="BC14" i="21"/>
  <c r="BC15" i="21"/>
  <c r="BC16" i="21"/>
  <c r="BC17" i="21"/>
  <c r="BC18" i="21"/>
  <c r="BC19" i="21"/>
  <c r="BC20" i="21"/>
  <c r="BC21" i="21"/>
  <c r="BC22" i="21"/>
  <c r="BC23" i="21"/>
  <c r="BC24" i="21"/>
  <c r="BC25" i="21"/>
  <c r="BC26" i="21"/>
  <c r="BC27" i="21"/>
  <c r="BC28" i="21"/>
  <c r="BC29" i="21"/>
  <c r="BC30" i="21"/>
  <c r="BC31" i="21"/>
  <c r="BC32" i="21"/>
  <c r="BC33" i="21"/>
  <c r="BC34" i="21"/>
  <c r="BC35" i="21"/>
  <c r="BC36" i="21"/>
  <c r="BC37" i="21"/>
  <c r="BC38" i="21"/>
  <c r="BC39" i="21"/>
  <c r="BC40" i="21"/>
  <c r="BC41" i="21"/>
  <c r="BC42" i="21"/>
  <c r="BC43" i="21"/>
  <c r="BC44" i="21"/>
  <c r="BC45" i="21"/>
  <c r="BC46" i="21"/>
  <c r="BC47" i="21"/>
  <c r="BC48" i="21"/>
  <c r="BC49" i="21"/>
  <c r="BC50" i="21"/>
  <c r="BC51" i="21"/>
  <c r="BC52" i="21"/>
  <c r="BC53" i="21"/>
  <c r="BC54" i="21"/>
  <c r="BC55" i="21"/>
  <c r="BC56" i="21"/>
  <c r="BC57" i="21"/>
  <c r="BC58" i="21"/>
  <c r="BC59" i="21"/>
  <c r="BC60" i="21"/>
  <c r="BC61" i="21"/>
  <c r="BC62" i="21"/>
  <c r="BC63" i="21"/>
  <c r="BC64" i="21"/>
  <c r="BC65" i="21"/>
  <c r="BC66" i="21"/>
  <c r="BC67" i="21"/>
  <c r="BC68" i="21"/>
  <c r="BC69" i="21"/>
  <c r="BC70" i="21"/>
  <c r="BC71" i="21"/>
  <c r="BC72" i="21"/>
  <c r="BC73" i="21"/>
  <c r="BC74" i="21"/>
  <c r="BC75" i="21"/>
  <c r="BC76" i="21"/>
  <c r="BC77" i="21"/>
  <c r="BC78" i="21"/>
  <c r="BC79" i="21"/>
  <c r="BC80" i="21"/>
  <c r="BC81" i="21"/>
  <c r="BC82" i="21"/>
  <c r="BC83" i="21"/>
  <c r="BC84" i="21"/>
  <c r="BC85" i="21"/>
  <c r="BC86" i="21"/>
  <c r="BC87" i="21"/>
  <c r="BC88" i="21"/>
  <c r="BC89" i="21"/>
  <c r="BC90" i="21"/>
  <c r="BC91" i="21"/>
  <c r="BC92" i="21"/>
  <c r="BC93" i="21"/>
  <c r="BC94" i="21"/>
  <c r="BC95" i="21"/>
  <c r="BC96" i="21"/>
  <c r="BC97" i="21"/>
  <c r="BC98" i="21"/>
  <c r="BC99" i="21"/>
  <c r="BC100" i="21"/>
  <c r="BC101" i="21"/>
  <c r="BC102" i="21"/>
  <c r="BC103" i="21"/>
  <c r="BC104" i="21"/>
  <c r="BC105" i="21"/>
  <c r="BC106" i="21"/>
  <c r="BC107" i="21"/>
  <c r="BC108" i="21"/>
  <c r="BC109" i="21"/>
  <c r="BC110" i="21"/>
  <c r="BC111" i="21"/>
  <c r="BC112" i="21"/>
  <c r="BC113" i="21"/>
  <c r="BC114" i="21"/>
  <c r="BC115" i="21"/>
  <c r="BC116" i="21"/>
  <c r="BC117" i="21"/>
  <c r="BC118" i="21"/>
  <c r="BC119" i="21"/>
  <c r="BC120" i="21"/>
  <c r="BC121" i="21"/>
  <c r="BC122" i="21"/>
  <c r="BC123" i="21"/>
  <c r="BC124" i="21"/>
  <c r="BC125" i="21"/>
  <c r="BC126" i="21"/>
  <c r="BC127" i="21"/>
  <c r="BC128" i="21"/>
  <c r="BC129" i="21"/>
  <c r="BC130" i="21"/>
  <c r="BC131" i="21"/>
  <c r="BC132" i="21"/>
  <c r="BC133" i="21"/>
  <c r="BC134" i="21"/>
  <c r="BC135" i="21"/>
  <c r="BC136" i="21"/>
  <c r="BC137" i="21"/>
  <c r="BC138" i="21"/>
  <c r="BC139" i="21"/>
  <c r="BC140" i="21"/>
  <c r="BC141" i="21"/>
  <c r="BC142" i="21"/>
  <c r="BC143" i="21"/>
  <c r="BC144" i="21"/>
  <c r="BC145" i="21"/>
  <c r="BC146" i="21"/>
  <c r="BC147" i="21"/>
  <c r="BC148" i="21"/>
  <c r="BC149" i="21"/>
  <c r="BC150" i="21"/>
  <c r="BC151" i="21"/>
  <c r="BC152" i="21"/>
  <c r="BC153" i="21"/>
  <c r="BC154" i="21"/>
  <c r="BC155" i="21"/>
  <c r="BC156" i="21"/>
  <c r="BC157" i="21"/>
  <c r="BC158" i="21"/>
  <c r="BC159" i="21"/>
  <c r="BC160" i="21"/>
  <c r="BC161" i="21"/>
  <c r="BC162" i="21"/>
  <c r="BC163" i="21"/>
  <c r="BC164" i="21"/>
  <c r="BC165" i="21"/>
  <c r="BC166" i="21"/>
  <c r="BC167" i="21"/>
  <c r="BC168" i="21"/>
  <c r="BC169" i="21"/>
  <c r="BC170" i="21"/>
  <c r="BC171" i="21"/>
  <c r="BC172" i="21"/>
  <c r="BC173" i="21"/>
  <c r="BC174" i="21"/>
  <c r="BC175" i="21"/>
  <c r="BC176" i="21"/>
  <c r="BC177" i="21"/>
  <c r="BC178" i="21"/>
  <c r="BC179" i="21"/>
  <c r="BC180" i="21"/>
  <c r="BC181" i="21"/>
  <c r="BC182" i="21"/>
  <c r="BC183" i="21"/>
  <c r="BC184" i="21"/>
  <c r="BC185" i="21"/>
  <c r="BC186" i="21"/>
  <c r="BC187" i="21"/>
  <c r="BC188" i="21"/>
  <c r="BC189" i="21"/>
  <c r="BC190" i="21"/>
  <c r="BC191" i="21"/>
  <c r="BC192" i="21"/>
  <c r="BC193" i="21"/>
  <c r="BC194" i="21"/>
  <c r="BC195" i="21"/>
  <c r="BC196" i="21"/>
  <c r="BC197" i="21"/>
  <c r="BC198" i="21"/>
  <c r="BC199" i="21"/>
  <c r="BC200" i="21"/>
  <c r="BC201" i="21"/>
  <c r="AY4" i="21"/>
  <c r="AY5" i="21"/>
  <c r="AY6" i="21"/>
  <c r="AY7" i="21"/>
  <c r="AY8" i="21"/>
  <c r="AY9" i="21"/>
  <c r="AY10" i="21"/>
  <c r="AY11" i="21"/>
  <c r="AY12" i="21"/>
  <c r="AY13" i="21"/>
  <c r="AY14" i="21"/>
  <c r="AY15" i="21"/>
  <c r="AY16" i="21"/>
  <c r="AY17" i="21"/>
  <c r="AY18" i="21"/>
  <c r="AY19" i="21"/>
  <c r="AY20" i="21"/>
  <c r="AY21" i="21"/>
  <c r="AY22" i="21"/>
  <c r="AY23" i="21"/>
  <c r="AY24" i="21"/>
  <c r="AY25" i="21"/>
  <c r="AY26" i="21"/>
  <c r="AY27" i="21"/>
  <c r="AY28" i="21"/>
  <c r="AY29" i="21"/>
  <c r="AY30" i="21"/>
  <c r="AY31" i="21"/>
  <c r="AY32" i="21"/>
  <c r="AY33" i="21"/>
  <c r="AY34" i="21"/>
  <c r="AY35" i="21"/>
  <c r="AY36" i="21"/>
  <c r="AY37" i="21"/>
  <c r="AY38" i="21"/>
  <c r="AY39" i="21"/>
  <c r="AY40" i="21"/>
  <c r="AY41" i="21"/>
  <c r="AY42" i="21"/>
  <c r="AY43" i="21"/>
  <c r="AY44" i="21"/>
  <c r="AY45" i="21"/>
  <c r="AY46" i="21"/>
  <c r="AY47" i="21"/>
  <c r="AY48" i="21"/>
  <c r="AY49" i="21"/>
  <c r="AY50" i="21"/>
  <c r="AY51" i="21"/>
  <c r="AY52" i="21"/>
  <c r="AY53" i="21"/>
  <c r="AY54" i="21"/>
  <c r="AY55" i="21"/>
  <c r="AY56" i="21"/>
  <c r="AY57" i="21"/>
  <c r="AY58" i="21"/>
  <c r="AY59" i="21"/>
  <c r="AY60" i="21"/>
  <c r="AY61" i="21"/>
  <c r="AY62" i="21"/>
  <c r="AY63" i="21"/>
  <c r="AY64" i="21"/>
  <c r="AY65" i="21"/>
  <c r="AY66" i="21"/>
  <c r="AY67" i="21"/>
  <c r="AY68" i="21"/>
  <c r="AY69" i="21"/>
  <c r="AY70" i="21"/>
  <c r="AY71" i="21"/>
  <c r="AY72" i="21"/>
  <c r="AY73" i="21"/>
  <c r="AY74" i="21"/>
  <c r="AY75" i="21"/>
  <c r="AY76" i="21"/>
  <c r="AY77" i="21"/>
  <c r="AY78" i="21"/>
  <c r="AY79" i="21"/>
  <c r="AY80" i="21"/>
  <c r="AY81" i="21"/>
  <c r="AY82" i="21"/>
  <c r="AY83" i="21"/>
  <c r="AY84" i="21"/>
  <c r="AY85" i="21"/>
  <c r="AY86" i="21"/>
  <c r="AY87" i="21"/>
  <c r="AY88" i="21"/>
  <c r="AY89" i="21"/>
  <c r="AY90" i="21"/>
  <c r="AY91" i="21"/>
  <c r="AY92" i="21"/>
  <c r="AY93" i="21"/>
  <c r="AY94" i="21"/>
  <c r="AY95" i="21"/>
  <c r="AY96" i="21"/>
  <c r="AY97" i="21"/>
  <c r="AY98" i="21"/>
  <c r="AY99" i="21"/>
  <c r="AY100" i="21"/>
  <c r="AY101" i="21"/>
  <c r="AY102" i="21"/>
  <c r="AY103" i="21"/>
  <c r="AY104" i="21"/>
  <c r="AY105" i="21"/>
  <c r="AY106" i="21"/>
  <c r="AY107" i="21"/>
  <c r="AY108" i="21"/>
  <c r="AY109" i="21"/>
  <c r="AY110" i="21"/>
  <c r="AY111" i="21"/>
  <c r="AY112" i="21"/>
  <c r="AY113" i="21"/>
  <c r="AY114" i="21"/>
  <c r="AY115" i="21"/>
  <c r="AY116" i="21"/>
  <c r="AY117" i="21"/>
  <c r="AY118" i="21"/>
  <c r="AY119" i="21"/>
  <c r="AY120" i="21"/>
  <c r="AY121" i="21"/>
  <c r="AY122" i="21"/>
  <c r="AY123" i="21"/>
  <c r="AY124" i="21"/>
  <c r="AY125" i="21"/>
  <c r="AY126" i="21"/>
  <c r="AY127" i="21"/>
  <c r="AY128" i="21"/>
  <c r="AY129" i="21"/>
  <c r="AY130" i="21"/>
  <c r="AY131" i="21"/>
  <c r="AY132" i="21"/>
  <c r="AY133" i="21"/>
  <c r="AY134" i="21"/>
  <c r="AY135" i="21"/>
  <c r="AY136" i="21"/>
  <c r="AY137" i="21"/>
  <c r="AY138" i="21"/>
  <c r="AY139" i="21"/>
  <c r="AY140" i="21"/>
  <c r="AY141" i="21"/>
  <c r="AY142" i="21"/>
  <c r="AY143" i="21"/>
  <c r="AY144" i="21"/>
  <c r="AY145" i="21"/>
  <c r="AY146" i="21"/>
  <c r="AY147" i="21"/>
  <c r="AY148" i="21"/>
  <c r="AY149" i="21"/>
  <c r="AY150" i="21"/>
  <c r="AY151" i="21"/>
  <c r="AY152" i="21"/>
  <c r="AY153" i="21"/>
  <c r="AY154" i="21"/>
  <c r="AY155" i="21"/>
  <c r="AY156" i="21"/>
  <c r="AY157" i="21"/>
  <c r="AY158" i="21"/>
  <c r="AY159" i="21"/>
  <c r="AY160" i="21"/>
  <c r="AY161" i="21"/>
  <c r="AY162" i="21"/>
  <c r="AY163" i="21"/>
  <c r="AY164" i="21"/>
  <c r="AY165" i="21"/>
  <c r="AY166" i="21"/>
  <c r="AY167" i="21"/>
  <c r="AY168" i="21"/>
  <c r="AY169" i="21"/>
  <c r="AY170" i="21"/>
  <c r="AY171" i="21"/>
  <c r="AY172" i="21"/>
  <c r="AY173" i="21"/>
  <c r="AY174" i="21"/>
  <c r="AY175" i="21"/>
  <c r="AY176" i="21"/>
  <c r="AY177" i="21"/>
  <c r="AY178" i="21"/>
  <c r="AY179" i="21"/>
  <c r="AY180" i="21"/>
  <c r="AY181" i="21"/>
  <c r="AY182" i="21"/>
  <c r="AY183" i="21"/>
  <c r="AY184" i="21"/>
  <c r="AY185" i="21"/>
  <c r="AY186" i="21"/>
  <c r="AY187" i="21"/>
  <c r="AY188" i="21"/>
  <c r="AY189" i="21"/>
  <c r="AY190" i="21"/>
  <c r="AY191" i="21"/>
  <c r="AY192" i="21"/>
  <c r="AY193" i="21"/>
  <c r="AY194" i="21"/>
  <c r="AY195" i="21"/>
  <c r="AY196" i="21"/>
  <c r="AY197" i="21"/>
  <c r="AY198" i="21"/>
  <c r="AY199" i="21"/>
  <c r="AY200" i="21"/>
  <c r="AY201" i="21"/>
  <c r="AP4" i="21"/>
  <c r="AP5" i="21"/>
  <c r="AP6" i="21"/>
  <c r="AP7" i="21"/>
  <c r="AP8" i="21"/>
  <c r="AP9" i="21"/>
  <c r="AP10" i="21"/>
  <c r="AP11" i="21"/>
  <c r="AP12" i="21"/>
  <c r="AP13" i="21"/>
  <c r="AP14" i="21"/>
  <c r="AP15" i="21"/>
  <c r="AP16" i="21"/>
  <c r="AP17" i="21"/>
  <c r="AP18" i="21"/>
  <c r="AP19" i="21"/>
  <c r="AP20" i="21"/>
  <c r="AP21" i="21"/>
  <c r="AP22" i="21"/>
  <c r="AP23" i="21"/>
  <c r="AP24" i="21"/>
  <c r="AP25" i="21"/>
  <c r="AP26" i="21"/>
  <c r="AP27" i="21"/>
  <c r="AP28" i="21"/>
  <c r="AP29" i="21"/>
  <c r="AP30" i="21"/>
  <c r="AP31" i="21"/>
  <c r="AP32" i="21"/>
  <c r="AP33" i="21"/>
  <c r="AP34" i="21"/>
  <c r="AP35" i="21"/>
  <c r="AP36" i="21"/>
  <c r="AP37" i="21"/>
  <c r="AP38" i="21"/>
  <c r="AP39" i="21"/>
  <c r="AP40" i="21"/>
  <c r="AP41" i="21"/>
  <c r="AP42" i="21"/>
  <c r="AP43" i="21"/>
  <c r="AP44" i="21"/>
  <c r="AP45" i="21"/>
  <c r="AP46" i="21"/>
  <c r="AP47" i="21"/>
  <c r="AP48" i="21"/>
  <c r="AP49" i="21"/>
  <c r="AP50" i="21"/>
  <c r="AP51" i="21"/>
  <c r="AP52" i="21"/>
  <c r="AP53" i="21"/>
  <c r="AP54" i="21"/>
  <c r="AP55" i="21"/>
  <c r="AP56" i="21"/>
  <c r="AP57" i="21"/>
  <c r="AP58" i="21"/>
  <c r="AP59" i="21"/>
  <c r="AP60" i="21"/>
  <c r="AP61" i="21"/>
  <c r="AP62" i="21"/>
  <c r="AP63" i="21"/>
  <c r="AP64" i="21"/>
  <c r="AP65" i="21"/>
  <c r="AP66" i="21"/>
  <c r="AP67" i="21"/>
  <c r="AP68" i="21"/>
  <c r="AP69" i="21"/>
  <c r="AP70" i="21"/>
  <c r="AP71" i="21"/>
  <c r="AP72" i="21"/>
  <c r="AP73" i="21"/>
  <c r="AP74" i="21"/>
  <c r="AP75" i="21"/>
  <c r="AP76" i="21"/>
  <c r="AP77" i="21"/>
  <c r="AP78" i="21"/>
  <c r="AP79" i="21"/>
  <c r="AP80" i="21"/>
  <c r="AP81" i="21"/>
  <c r="AP82" i="21"/>
  <c r="AP83" i="21"/>
  <c r="AP84" i="21"/>
  <c r="AP85" i="21"/>
  <c r="AP86" i="21"/>
  <c r="AP87" i="21"/>
  <c r="AP88" i="21"/>
  <c r="AP89" i="21"/>
  <c r="AP90" i="21"/>
  <c r="AP91" i="21"/>
  <c r="AP92" i="21"/>
  <c r="AP93" i="21"/>
  <c r="AP94" i="21"/>
  <c r="AP95" i="21"/>
  <c r="AP96" i="21"/>
  <c r="AP97" i="21"/>
  <c r="AP98" i="21"/>
  <c r="AP99" i="21"/>
  <c r="AP100" i="21"/>
  <c r="AP101" i="21"/>
  <c r="AP102" i="21"/>
  <c r="AP103" i="21"/>
  <c r="AP104" i="21"/>
  <c r="AP105" i="21"/>
  <c r="AP106" i="21"/>
  <c r="AP107" i="21"/>
  <c r="AP108" i="21"/>
  <c r="AP109" i="21"/>
  <c r="AP110" i="21"/>
  <c r="AP111" i="21"/>
  <c r="AP112" i="21"/>
  <c r="AP113" i="21"/>
  <c r="AP114" i="21"/>
  <c r="AP115" i="21"/>
  <c r="AP116" i="21"/>
  <c r="AP117" i="21"/>
  <c r="AP118" i="21"/>
  <c r="AP119" i="21"/>
  <c r="AP120" i="21"/>
  <c r="AP121" i="21"/>
  <c r="AP122" i="21"/>
  <c r="AP123" i="21"/>
  <c r="AP124" i="21"/>
  <c r="AP125" i="21"/>
  <c r="AP126" i="21"/>
  <c r="AP127" i="21"/>
  <c r="AP128" i="21"/>
  <c r="AP129" i="21"/>
  <c r="AP130" i="21"/>
  <c r="AP131" i="21"/>
  <c r="AP132" i="21"/>
  <c r="AP133" i="21"/>
  <c r="AP134" i="21"/>
  <c r="AP135" i="21"/>
  <c r="AP136" i="21"/>
  <c r="AP137" i="21"/>
  <c r="AP138" i="21"/>
  <c r="AP139" i="21"/>
  <c r="AP140" i="21"/>
  <c r="AP141" i="21"/>
  <c r="AP142" i="21"/>
  <c r="AP143" i="21"/>
  <c r="AP144" i="21"/>
  <c r="AP145" i="21"/>
  <c r="AP146" i="21"/>
  <c r="AP147" i="21"/>
  <c r="AP148" i="21"/>
  <c r="AP149" i="21"/>
  <c r="AP150" i="21"/>
  <c r="AP151" i="21"/>
  <c r="AP152" i="21"/>
  <c r="AP153" i="21"/>
  <c r="AP154" i="21"/>
  <c r="AP155" i="21"/>
  <c r="AP156" i="21"/>
  <c r="AP157" i="21"/>
  <c r="AP158" i="21"/>
  <c r="AP159" i="21"/>
  <c r="AP160" i="21"/>
  <c r="AP161" i="21"/>
  <c r="AP162" i="21"/>
  <c r="AP163" i="21"/>
  <c r="AP164" i="21"/>
  <c r="AP165" i="21"/>
  <c r="AP166" i="21"/>
  <c r="AP167" i="21"/>
  <c r="AP168" i="21"/>
  <c r="AP169" i="21"/>
  <c r="AP170" i="21"/>
  <c r="AP171" i="21"/>
  <c r="AP172" i="21"/>
  <c r="AP173" i="21"/>
  <c r="AP174" i="21"/>
  <c r="AP175" i="21"/>
  <c r="AP176" i="21"/>
  <c r="AP177" i="21"/>
  <c r="AP178" i="21"/>
  <c r="AP179" i="21"/>
  <c r="AP180" i="21"/>
  <c r="AP181" i="21"/>
  <c r="AP182" i="21"/>
  <c r="AP183" i="21"/>
  <c r="AP184" i="21"/>
  <c r="AP185" i="21"/>
  <c r="AP186" i="21"/>
  <c r="AP187" i="21"/>
  <c r="AP188" i="21"/>
  <c r="AP189" i="21"/>
  <c r="AP190" i="21"/>
  <c r="AP191" i="21"/>
  <c r="AP192" i="21"/>
  <c r="AP193" i="21"/>
  <c r="AP194" i="21"/>
  <c r="AP195" i="21"/>
  <c r="AP196" i="21"/>
  <c r="AP197" i="21"/>
  <c r="AP198" i="21"/>
  <c r="AP199" i="21"/>
  <c r="AP200" i="21"/>
  <c r="AP201" i="21"/>
  <c r="AL4" i="21"/>
  <c r="AL5" i="21"/>
  <c r="AL6" i="21"/>
  <c r="AL7" i="21"/>
  <c r="AL8" i="21"/>
  <c r="AL9" i="21"/>
  <c r="AL10" i="21"/>
  <c r="AL11" i="21"/>
  <c r="AL12" i="21"/>
  <c r="AL13" i="21"/>
  <c r="AL14" i="21"/>
  <c r="AL15" i="21"/>
  <c r="AL16" i="21"/>
  <c r="AL17" i="21"/>
  <c r="AL18" i="21"/>
  <c r="AL19" i="21"/>
  <c r="AL20" i="21"/>
  <c r="AL21" i="21"/>
  <c r="AL22" i="21"/>
  <c r="AL23" i="21"/>
  <c r="AL24" i="21"/>
  <c r="AL25" i="21"/>
  <c r="AL26" i="21"/>
  <c r="AL27" i="21"/>
  <c r="AL28" i="21"/>
  <c r="AL29" i="21"/>
  <c r="AL30" i="21"/>
  <c r="AL31" i="21"/>
  <c r="AL32" i="21"/>
  <c r="AL33" i="21"/>
  <c r="AL34" i="21"/>
  <c r="AL35" i="21"/>
  <c r="AL36" i="21"/>
  <c r="AL37" i="21"/>
  <c r="AL38" i="21"/>
  <c r="AL39" i="21"/>
  <c r="AL40" i="21"/>
  <c r="AL41" i="21"/>
  <c r="AL42" i="21"/>
  <c r="AL43" i="21"/>
  <c r="AL44" i="21"/>
  <c r="AL45" i="21"/>
  <c r="AL46" i="21"/>
  <c r="AL47" i="21"/>
  <c r="AL48" i="21"/>
  <c r="AL49" i="21"/>
  <c r="AL50" i="21"/>
  <c r="AL51" i="21"/>
  <c r="AL52" i="21"/>
  <c r="AL53" i="21"/>
  <c r="AL54" i="21"/>
  <c r="AL55" i="21"/>
  <c r="AL56" i="21"/>
  <c r="AL57" i="21"/>
  <c r="AL58" i="21"/>
  <c r="AL59" i="21"/>
  <c r="AL60" i="21"/>
  <c r="AL61" i="21"/>
  <c r="AL62" i="21"/>
  <c r="AL63" i="21"/>
  <c r="AL64" i="21"/>
  <c r="AL65" i="21"/>
  <c r="AL66" i="21"/>
  <c r="AL67" i="21"/>
  <c r="AL68" i="21"/>
  <c r="AL69" i="21"/>
  <c r="AL70" i="21"/>
  <c r="AL71" i="21"/>
  <c r="AL72" i="21"/>
  <c r="AL73" i="21"/>
  <c r="AL74" i="21"/>
  <c r="AL75" i="21"/>
  <c r="AL76" i="21"/>
  <c r="AL77" i="21"/>
  <c r="AL78" i="21"/>
  <c r="AL79" i="21"/>
  <c r="AL80" i="21"/>
  <c r="AL81" i="21"/>
  <c r="AL82" i="21"/>
  <c r="AL83" i="21"/>
  <c r="AL84" i="21"/>
  <c r="AL85" i="21"/>
  <c r="AL86" i="21"/>
  <c r="AL87" i="21"/>
  <c r="AL88" i="21"/>
  <c r="AL89" i="21"/>
  <c r="AL90" i="21"/>
  <c r="AL91" i="21"/>
  <c r="AL92" i="21"/>
  <c r="AL93" i="21"/>
  <c r="AL94" i="21"/>
  <c r="AL95" i="21"/>
  <c r="AL96" i="21"/>
  <c r="AL97" i="21"/>
  <c r="AL98" i="21"/>
  <c r="AL99" i="21"/>
  <c r="AL100" i="21"/>
  <c r="AL101" i="21"/>
  <c r="AL102" i="21"/>
  <c r="AL103" i="21"/>
  <c r="AL104" i="21"/>
  <c r="AL105" i="21"/>
  <c r="AL106" i="21"/>
  <c r="AL107" i="21"/>
  <c r="AL108" i="21"/>
  <c r="AL109" i="21"/>
  <c r="AL110" i="21"/>
  <c r="AL111" i="21"/>
  <c r="AL112" i="21"/>
  <c r="AL113" i="21"/>
  <c r="AL114" i="21"/>
  <c r="AL115" i="21"/>
  <c r="AL116" i="21"/>
  <c r="AL117" i="21"/>
  <c r="AL118" i="21"/>
  <c r="AL119" i="21"/>
  <c r="AL120" i="21"/>
  <c r="AL121" i="21"/>
  <c r="AL122" i="21"/>
  <c r="AL123" i="21"/>
  <c r="AL124" i="21"/>
  <c r="AL125" i="21"/>
  <c r="AL126" i="21"/>
  <c r="AL127" i="21"/>
  <c r="AL128" i="21"/>
  <c r="AL129" i="21"/>
  <c r="AL130" i="21"/>
  <c r="AL131" i="21"/>
  <c r="AL132" i="21"/>
  <c r="AL133" i="21"/>
  <c r="AL134" i="21"/>
  <c r="AL135" i="21"/>
  <c r="AL136" i="21"/>
  <c r="AL137" i="21"/>
  <c r="AL138" i="21"/>
  <c r="AL139" i="21"/>
  <c r="AL140" i="21"/>
  <c r="AL141" i="21"/>
  <c r="AL142" i="21"/>
  <c r="AL143" i="21"/>
  <c r="AL144" i="21"/>
  <c r="AL145" i="21"/>
  <c r="AL146" i="21"/>
  <c r="AL147" i="21"/>
  <c r="AL148" i="21"/>
  <c r="AL149" i="21"/>
  <c r="AL150" i="21"/>
  <c r="AL151" i="21"/>
  <c r="AL152" i="21"/>
  <c r="AL153" i="21"/>
  <c r="AL154" i="21"/>
  <c r="AL155" i="21"/>
  <c r="AL156" i="21"/>
  <c r="AL157" i="21"/>
  <c r="AL158" i="21"/>
  <c r="AL159" i="21"/>
  <c r="AL160" i="21"/>
  <c r="AL161" i="21"/>
  <c r="AL162" i="21"/>
  <c r="AL163" i="21"/>
  <c r="AL164" i="21"/>
  <c r="AL165" i="21"/>
  <c r="AL166" i="21"/>
  <c r="AL167" i="21"/>
  <c r="AL168" i="21"/>
  <c r="AL169" i="21"/>
  <c r="AL170" i="21"/>
  <c r="AL171" i="21"/>
  <c r="AL172" i="21"/>
  <c r="AL173" i="21"/>
  <c r="AL174" i="21"/>
  <c r="AL175" i="21"/>
  <c r="AL176" i="21"/>
  <c r="AL177" i="21"/>
  <c r="AL178" i="21"/>
  <c r="AL179" i="21"/>
  <c r="AL180" i="21"/>
  <c r="AL181" i="21"/>
  <c r="AL182" i="21"/>
  <c r="AL183" i="21"/>
  <c r="AL184" i="21"/>
  <c r="AL185" i="21"/>
  <c r="AL186" i="21"/>
  <c r="AL187" i="21"/>
  <c r="AL188" i="21"/>
  <c r="AL189" i="21"/>
  <c r="AL190" i="21"/>
  <c r="AL191" i="21"/>
  <c r="AL192" i="21"/>
  <c r="AL193" i="21"/>
  <c r="AL194" i="21"/>
  <c r="AL195" i="21"/>
  <c r="AL196" i="21"/>
  <c r="AL197" i="21"/>
  <c r="AL198" i="21"/>
  <c r="AL199" i="21"/>
  <c r="AL200" i="21"/>
  <c r="AL201" i="21"/>
  <c r="AH4" i="21"/>
  <c r="AH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64" i="21"/>
  <c r="AH65" i="21"/>
  <c r="AH66" i="21"/>
  <c r="AH67" i="21"/>
  <c r="AH68" i="21"/>
  <c r="AH69" i="21"/>
  <c r="AH70" i="21"/>
  <c r="AH71" i="21"/>
  <c r="AH72" i="21"/>
  <c r="AH73" i="21"/>
  <c r="AH74" i="21"/>
  <c r="AH75" i="21"/>
  <c r="AH76" i="21"/>
  <c r="AH77" i="21"/>
  <c r="AH78" i="21"/>
  <c r="AH79" i="21"/>
  <c r="AH80" i="21"/>
  <c r="AH81" i="21"/>
  <c r="AH82" i="21"/>
  <c r="AH83" i="21"/>
  <c r="AH84" i="21"/>
  <c r="AH85" i="21"/>
  <c r="AH86" i="21"/>
  <c r="AH87" i="21"/>
  <c r="AH88" i="21"/>
  <c r="AH89" i="21"/>
  <c r="AH90" i="21"/>
  <c r="AH91" i="21"/>
  <c r="AH92" i="21"/>
  <c r="AH93" i="21"/>
  <c r="AH94" i="21"/>
  <c r="AH95" i="21"/>
  <c r="AH96" i="21"/>
  <c r="AH97" i="21"/>
  <c r="AH98" i="21"/>
  <c r="AH99" i="21"/>
  <c r="AH100" i="21"/>
  <c r="AH101" i="21"/>
  <c r="AH102" i="21"/>
  <c r="AH103" i="21"/>
  <c r="AH104" i="21"/>
  <c r="AH105" i="21"/>
  <c r="AH106" i="21"/>
  <c r="AH107" i="21"/>
  <c r="AH108" i="21"/>
  <c r="AH109" i="21"/>
  <c r="AH110" i="21"/>
  <c r="AH111" i="21"/>
  <c r="AH112" i="21"/>
  <c r="AH113" i="21"/>
  <c r="AH114" i="21"/>
  <c r="AH115" i="21"/>
  <c r="AH116" i="21"/>
  <c r="AH117" i="21"/>
  <c r="AH118" i="21"/>
  <c r="AH119" i="21"/>
  <c r="AH120" i="21"/>
  <c r="AH121" i="21"/>
  <c r="AH122" i="21"/>
  <c r="AH123" i="21"/>
  <c r="AH124" i="21"/>
  <c r="AH125" i="21"/>
  <c r="AH126" i="21"/>
  <c r="AH127" i="21"/>
  <c r="AH128" i="21"/>
  <c r="AH129" i="21"/>
  <c r="AH130" i="21"/>
  <c r="AH131" i="21"/>
  <c r="AH132" i="21"/>
  <c r="AH133" i="21"/>
  <c r="AH134" i="21"/>
  <c r="AH135" i="21"/>
  <c r="AH136" i="21"/>
  <c r="AH137" i="21"/>
  <c r="AH138" i="21"/>
  <c r="AH139" i="21"/>
  <c r="AH140" i="21"/>
  <c r="AH141" i="21"/>
  <c r="AH142" i="21"/>
  <c r="AH143" i="21"/>
  <c r="AH144" i="21"/>
  <c r="AH145" i="21"/>
  <c r="AH146" i="21"/>
  <c r="AH147" i="21"/>
  <c r="AH148" i="21"/>
  <c r="AH149" i="21"/>
  <c r="AH150" i="21"/>
  <c r="AH151" i="21"/>
  <c r="AH152" i="21"/>
  <c r="AH153" i="21"/>
  <c r="AH154" i="21"/>
  <c r="AH155" i="21"/>
  <c r="AH156" i="21"/>
  <c r="AH157" i="21"/>
  <c r="AH158" i="21"/>
  <c r="AH159" i="21"/>
  <c r="AH160" i="21"/>
  <c r="AH161" i="21"/>
  <c r="AH162" i="21"/>
  <c r="AH163" i="21"/>
  <c r="AH164" i="21"/>
  <c r="AH165" i="21"/>
  <c r="AH166" i="21"/>
  <c r="AH167" i="21"/>
  <c r="AH168" i="21"/>
  <c r="AH169" i="21"/>
  <c r="AH170" i="21"/>
  <c r="AH171" i="21"/>
  <c r="AH172" i="21"/>
  <c r="AH173" i="21"/>
  <c r="AH174" i="21"/>
  <c r="AH175" i="21"/>
  <c r="AH176" i="21"/>
  <c r="AH177" i="21"/>
  <c r="AH178" i="21"/>
  <c r="AH179" i="21"/>
  <c r="AH180" i="21"/>
  <c r="AH181" i="21"/>
  <c r="AH182" i="21"/>
  <c r="AH183" i="21"/>
  <c r="AH184" i="21"/>
  <c r="AH185" i="21"/>
  <c r="AH186" i="21"/>
  <c r="AH187" i="21"/>
  <c r="AH188" i="21"/>
  <c r="AH189" i="21"/>
  <c r="AH190" i="21"/>
  <c r="AH191" i="21"/>
  <c r="AH192" i="21"/>
  <c r="AH193" i="21"/>
  <c r="AH194" i="21"/>
  <c r="AH195" i="21"/>
  <c r="AH196" i="21"/>
  <c r="AH197" i="21"/>
  <c r="AH198" i="21"/>
  <c r="AH199" i="21"/>
  <c r="AH200" i="21"/>
  <c r="AH201" i="21"/>
  <c r="Y4" i="21"/>
  <c r="Y5" i="21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Y88" i="21"/>
  <c r="Y89" i="21"/>
  <c r="Y90" i="21"/>
  <c r="Y91" i="21"/>
  <c r="Y92" i="21"/>
  <c r="Y93" i="21"/>
  <c r="Y94" i="21"/>
  <c r="Y95" i="21"/>
  <c r="Y96" i="21"/>
  <c r="Y97" i="21"/>
  <c r="Y98" i="21"/>
  <c r="Y99" i="21"/>
  <c r="Y100" i="21"/>
  <c r="Y101" i="21"/>
  <c r="Y102" i="21"/>
  <c r="Y103" i="21"/>
  <c r="Y104" i="21"/>
  <c r="Y105" i="21"/>
  <c r="Y106" i="21"/>
  <c r="Y107" i="21"/>
  <c r="Y108" i="21"/>
  <c r="Y109" i="21"/>
  <c r="Y110" i="21"/>
  <c r="Y111" i="21"/>
  <c r="Y112" i="21"/>
  <c r="Y113" i="21"/>
  <c r="Y114" i="21"/>
  <c r="Y115" i="21"/>
  <c r="Y116" i="21"/>
  <c r="Y117" i="21"/>
  <c r="Y118" i="21"/>
  <c r="Y119" i="21"/>
  <c r="Y120" i="21"/>
  <c r="Y121" i="21"/>
  <c r="Y122" i="21"/>
  <c r="Y123" i="21"/>
  <c r="Y124" i="21"/>
  <c r="Y125" i="21"/>
  <c r="Y126" i="21"/>
  <c r="Y127" i="21"/>
  <c r="Y128" i="21"/>
  <c r="Y129" i="21"/>
  <c r="Y130" i="21"/>
  <c r="Y131" i="21"/>
  <c r="Y132" i="21"/>
  <c r="Y133" i="21"/>
  <c r="Y134" i="21"/>
  <c r="Y135" i="21"/>
  <c r="Y136" i="21"/>
  <c r="Y137" i="21"/>
  <c r="Y138" i="21"/>
  <c r="Y139" i="21"/>
  <c r="Y140" i="21"/>
  <c r="Y141" i="21"/>
  <c r="Y142" i="21"/>
  <c r="Y143" i="21"/>
  <c r="Y144" i="21"/>
  <c r="Y145" i="21"/>
  <c r="Y146" i="21"/>
  <c r="Y147" i="21"/>
  <c r="Y148" i="21"/>
  <c r="Y149" i="21"/>
  <c r="Y150" i="21"/>
  <c r="Y151" i="21"/>
  <c r="Y152" i="21"/>
  <c r="Y153" i="21"/>
  <c r="Y154" i="21"/>
  <c r="Y155" i="21"/>
  <c r="Y156" i="21"/>
  <c r="Y157" i="21"/>
  <c r="Y158" i="21"/>
  <c r="Y159" i="21"/>
  <c r="Y160" i="21"/>
  <c r="Y161" i="21"/>
  <c r="Y162" i="21"/>
  <c r="Y163" i="21"/>
  <c r="Y164" i="21"/>
  <c r="Y165" i="21"/>
  <c r="Y166" i="21"/>
  <c r="Y167" i="21"/>
  <c r="Y168" i="21"/>
  <c r="Y169" i="21"/>
  <c r="Y170" i="21"/>
  <c r="Y171" i="21"/>
  <c r="Y172" i="21"/>
  <c r="Y173" i="21"/>
  <c r="Y174" i="21"/>
  <c r="Y175" i="21"/>
  <c r="Y176" i="21"/>
  <c r="Y177" i="21"/>
  <c r="Y178" i="21"/>
  <c r="Y179" i="21"/>
  <c r="Y180" i="21"/>
  <c r="Y181" i="21"/>
  <c r="Y182" i="21"/>
  <c r="Y183" i="21"/>
  <c r="Y184" i="21"/>
  <c r="Y185" i="21"/>
  <c r="Y186" i="21"/>
  <c r="Y187" i="21"/>
  <c r="Y188" i="21"/>
  <c r="Y189" i="21"/>
  <c r="Y190" i="21"/>
  <c r="Y191" i="21"/>
  <c r="Y192" i="21"/>
  <c r="Y193" i="21"/>
  <c r="Y194" i="21"/>
  <c r="Y195" i="21"/>
  <c r="Y196" i="21"/>
  <c r="Y197" i="21"/>
  <c r="Y198" i="21"/>
  <c r="Y199" i="21"/>
  <c r="Y200" i="21"/>
  <c r="Y201" i="21"/>
  <c r="U4" i="21"/>
  <c r="U5" i="21"/>
  <c r="U6" i="21"/>
  <c r="U7" i="2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70" i="21"/>
  <c r="U71" i="21"/>
  <c r="U72" i="21"/>
  <c r="U73" i="21"/>
  <c r="U74" i="21"/>
  <c r="U75" i="21"/>
  <c r="U76" i="21"/>
  <c r="U77" i="21"/>
  <c r="U78" i="21"/>
  <c r="U79" i="21"/>
  <c r="U80" i="21"/>
  <c r="U81" i="21"/>
  <c r="U82" i="21"/>
  <c r="U83" i="21"/>
  <c r="U84" i="21"/>
  <c r="U85" i="21"/>
  <c r="U86" i="21"/>
  <c r="U87" i="21"/>
  <c r="U88" i="21"/>
  <c r="U89" i="21"/>
  <c r="U90" i="21"/>
  <c r="U91" i="21"/>
  <c r="U92" i="21"/>
  <c r="U93" i="21"/>
  <c r="U94" i="21"/>
  <c r="U95" i="21"/>
  <c r="U96" i="21"/>
  <c r="U97" i="21"/>
  <c r="U98" i="21"/>
  <c r="U99" i="21"/>
  <c r="U100" i="21"/>
  <c r="U101" i="21"/>
  <c r="U102" i="21"/>
  <c r="U103" i="21"/>
  <c r="U104" i="21"/>
  <c r="U105" i="21"/>
  <c r="U106" i="21"/>
  <c r="U107" i="21"/>
  <c r="U108" i="21"/>
  <c r="U109" i="21"/>
  <c r="U110" i="21"/>
  <c r="U111" i="21"/>
  <c r="U112" i="21"/>
  <c r="U113" i="21"/>
  <c r="U114" i="21"/>
  <c r="U115" i="21"/>
  <c r="U116" i="21"/>
  <c r="U117" i="21"/>
  <c r="U118" i="21"/>
  <c r="U119" i="21"/>
  <c r="U120" i="21"/>
  <c r="U121" i="21"/>
  <c r="U122" i="21"/>
  <c r="U123" i="21"/>
  <c r="U124" i="21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U146" i="21"/>
  <c r="U147" i="21"/>
  <c r="U148" i="21"/>
  <c r="U149" i="21"/>
  <c r="U150" i="21"/>
  <c r="U151" i="21"/>
  <c r="U152" i="21"/>
  <c r="U153" i="21"/>
  <c r="U154" i="21"/>
  <c r="U155" i="21"/>
  <c r="U156" i="21"/>
  <c r="U157" i="21"/>
  <c r="U158" i="21"/>
  <c r="U159" i="21"/>
  <c r="U160" i="21"/>
  <c r="U161" i="21"/>
  <c r="U162" i="21"/>
  <c r="U163" i="21"/>
  <c r="U164" i="21"/>
  <c r="U165" i="21"/>
  <c r="U166" i="21"/>
  <c r="U167" i="21"/>
  <c r="U168" i="21"/>
  <c r="U169" i="21"/>
  <c r="U170" i="21"/>
  <c r="U171" i="21"/>
  <c r="U172" i="21"/>
  <c r="U173" i="21"/>
  <c r="U174" i="21"/>
  <c r="U175" i="21"/>
  <c r="U176" i="21"/>
  <c r="U177" i="21"/>
  <c r="U178" i="21"/>
  <c r="U179" i="21"/>
  <c r="U180" i="21"/>
  <c r="U181" i="21"/>
  <c r="U182" i="21"/>
  <c r="U183" i="21"/>
  <c r="U184" i="21"/>
  <c r="U185" i="21"/>
  <c r="U186" i="21"/>
  <c r="U187" i="21"/>
  <c r="U188" i="21"/>
  <c r="U189" i="21"/>
  <c r="U190" i="21"/>
  <c r="U191" i="21"/>
  <c r="U192" i="21"/>
  <c r="U193" i="21"/>
  <c r="U194" i="21"/>
  <c r="U195" i="21"/>
  <c r="U196" i="21"/>
  <c r="U197" i="21"/>
  <c r="U198" i="21"/>
  <c r="U199" i="21"/>
  <c r="U200" i="21"/>
  <c r="U201" i="21"/>
  <c r="Q4" i="21"/>
  <c r="Q5" i="21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Q102" i="21"/>
  <c r="Q103" i="21"/>
  <c r="Q104" i="21"/>
  <c r="Q105" i="21"/>
  <c r="Q106" i="21"/>
  <c r="Q107" i="21"/>
  <c r="Q108" i="21"/>
  <c r="Q109" i="21"/>
  <c r="Q110" i="21"/>
  <c r="Q111" i="21"/>
  <c r="Q112" i="21"/>
  <c r="Q113" i="21"/>
  <c r="Q114" i="21"/>
  <c r="Q115" i="21"/>
  <c r="Q116" i="21"/>
  <c r="Q117" i="21"/>
  <c r="Q118" i="21"/>
  <c r="Q119" i="21"/>
  <c r="Q120" i="21"/>
  <c r="Q121" i="21"/>
  <c r="Q122" i="21"/>
  <c r="Q123" i="21"/>
  <c r="Q124" i="21"/>
  <c r="Q125" i="21"/>
  <c r="Q126" i="21"/>
  <c r="Q127" i="21"/>
  <c r="Q128" i="21"/>
  <c r="Q129" i="21"/>
  <c r="Q130" i="21"/>
  <c r="Q131" i="21"/>
  <c r="Q132" i="21"/>
  <c r="Q133" i="21"/>
  <c r="Q134" i="21"/>
  <c r="Q135" i="21"/>
  <c r="Q136" i="21"/>
  <c r="Q137" i="21"/>
  <c r="Q138" i="21"/>
  <c r="Q139" i="21"/>
  <c r="Q140" i="21"/>
  <c r="Q141" i="21"/>
  <c r="Q142" i="21"/>
  <c r="Q143" i="21"/>
  <c r="Q144" i="21"/>
  <c r="Q145" i="21"/>
  <c r="Q146" i="21"/>
  <c r="Q147" i="21"/>
  <c r="Q148" i="21"/>
  <c r="Q149" i="21"/>
  <c r="Q150" i="21"/>
  <c r="Q151" i="21"/>
  <c r="Q152" i="21"/>
  <c r="Q153" i="21"/>
  <c r="Q154" i="21"/>
  <c r="Q155" i="21"/>
  <c r="Q156" i="21"/>
  <c r="Q157" i="21"/>
  <c r="Q158" i="21"/>
  <c r="Q159" i="21"/>
  <c r="Q160" i="21"/>
  <c r="Q161" i="21"/>
  <c r="Q162" i="21"/>
  <c r="Q163" i="21"/>
  <c r="Q164" i="21"/>
  <c r="Q165" i="21"/>
  <c r="Q166" i="21"/>
  <c r="Q167" i="21"/>
  <c r="Q168" i="21"/>
  <c r="Q169" i="21"/>
  <c r="Q170" i="21"/>
  <c r="Q171" i="21"/>
  <c r="Q172" i="21"/>
  <c r="Q173" i="21"/>
  <c r="Q174" i="21"/>
  <c r="Q175" i="21"/>
  <c r="Q176" i="21"/>
  <c r="Q177" i="21"/>
  <c r="Q178" i="21"/>
  <c r="Q179" i="21"/>
  <c r="Q180" i="21"/>
  <c r="Q181" i="21"/>
  <c r="Q182" i="21"/>
  <c r="Q183" i="21"/>
  <c r="Q184" i="21"/>
  <c r="Q185" i="21"/>
  <c r="Q186" i="21"/>
  <c r="Q187" i="21"/>
  <c r="Q188" i="21"/>
  <c r="Q189" i="21"/>
  <c r="Q190" i="21"/>
  <c r="Q191" i="21"/>
  <c r="Q192" i="21"/>
  <c r="Q193" i="21"/>
  <c r="Q194" i="21"/>
  <c r="Q195" i="21"/>
  <c r="Q196" i="21"/>
  <c r="Q197" i="21"/>
  <c r="Q198" i="21"/>
  <c r="Q199" i="21"/>
  <c r="Q200" i="21"/>
  <c r="Q201" i="21"/>
  <c r="BG4" i="20"/>
  <c r="BG5" i="20"/>
  <c r="BG6" i="20"/>
  <c r="BG7" i="20"/>
  <c r="BG8" i="20"/>
  <c r="BG9" i="20"/>
  <c r="BG10" i="20"/>
  <c r="BG11" i="20"/>
  <c r="BG12" i="20"/>
  <c r="BG13" i="20"/>
  <c r="BG14" i="20"/>
  <c r="BG15" i="20"/>
  <c r="BG16" i="20"/>
  <c r="BG17" i="20"/>
  <c r="BG18" i="20"/>
  <c r="BG19" i="20"/>
  <c r="BG20" i="20"/>
  <c r="BG21" i="20"/>
  <c r="BG22" i="20"/>
  <c r="BG23" i="20"/>
  <c r="BG24" i="20"/>
  <c r="BG25" i="20"/>
  <c r="BG26" i="20"/>
  <c r="BG27" i="20"/>
  <c r="BG28" i="20"/>
  <c r="BG29" i="20"/>
  <c r="BG30" i="20"/>
  <c r="BG31" i="20"/>
  <c r="BG32" i="20"/>
  <c r="BG33" i="20"/>
  <c r="BG34" i="20"/>
  <c r="BG35" i="20"/>
  <c r="BG36" i="20"/>
  <c r="BG37" i="20"/>
  <c r="BG38" i="20"/>
  <c r="BG39" i="20"/>
  <c r="BG40" i="20"/>
  <c r="BG41" i="20"/>
  <c r="BG42" i="20"/>
  <c r="BG43" i="20"/>
  <c r="BG44" i="20"/>
  <c r="BG45" i="20"/>
  <c r="BG46" i="20"/>
  <c r="BG47" i="20"/>
  <c r="BG48" i="20"/>
  <c r="BG49" i="20"/>
  <c r="BG50" i="20"/>
  <c r="BG51" i="20"/>
  <c r="BG52" i="20"/>
  <c r="BG53" i="20"/>
  <c r="BG54" i="20"/>
  <c r="BG55" i="20"/>
  <c r="BG56" i="20"/>
  <c r="BG57" i="20"/>
  <c r="BG58" i="20"/>
  <c r="BG59" i="20"/>
  <c r="BG60" i="20"/>
  <c r="BG61" i="20"/>
  <c r="BG62" i="20"/>
  <c r="BG63" i="20"/>
  <c r="BG64" i="20"/>
  <c r="BG65" i="20"/>
  <c r="BG66" i="20"/>
  <c r="BG67" i="20"/>
  <c r="BG68" i="20"/>
  <c r="BG69" i="20"/>
  <c r="BG70" i="20"/>
  <c r="BG71" i="20"/>
  <c r="BG72" i="20"/>
  <c r="BG73" i="20"/>
  <c r="BG74" i="20"/>
  <c r="BG75" i="20"/>
  <c r="BG76" i="20"/>
  <c r="BG77" i="20"/>
  <c r="BG78" i="20"/>
  <c r="BG79" i="20"/>
  <c r="BG80" i="20"/>
  <c r="BG81" i="20"/>
  <c r="BG82" i="20"/>
  <c r="BG83" i="20"/>
  <c r="BG84" i="20"/>
  <c r="BG85" i="20"/>
  <c r="BG86" i="20"/>
  <c r="BG87" i="20"/>
  <c r="BG88" i="20"/>
  <c r="BG89" i="20"/>
  <c r="BG90" i="20"/>
  <c r="BG91" i="20"/>
  <c r="BG92" i="20"/>
  <c r="BG93" i="20"/>
  <c r="BG94" i="20"/>
  <c r="BG95" i="20"/>
  <c r="BG96" i="20"/>
  <c r="BG97" i="20"/>
  <c r="BG98" i="20"/>
  <c r="BG99" i="20"/>
  <c r="BG100" i="20"/>
  <c r="BG101" i="20"/>
  <c r="BG102" i="20"/>
  <c r="BG103" i="20"/>
  <c r="BG104" i="20"/>
  <c r="BG105" i="20"/>
  <c r="BG106" i="20"/>
  <c r="BG107" i="20"/>
  <c r="BG108" i="20"/>
  <c r="BG109" i="20"/>
  <c r="BG110" i="20"/>
  <c r="BG111" i="20"/>
  <c r="BG112" i="20"/>
  <c r="BG113" i="20"/>
  <c r="BG114" i="20"/>
  <c r="BG115" i="20"/>
  <c r="BG116" i="20"/>
  <c r="BG117" i="20"/>
  <c r="BG118" i="20"/>
  <c r="BG119" i="20"/>
  <c r="BG120" i="20"/>
  <c r="BG121" i="20"/>
  <c r="BG122" i="20"/>
  <c r="BG123" i="20"/>
  <c r="BG124" i="20"/>
  <c r="BG125" i="20"/>
  <c r="BG126" i="20"/>
  <c r="BG127" i="20"/>
  <c r="BG128" i="20"/>
  <c r="BG129" i="20"/>
  <c r="BG130" i="20"/>
  <c r="BG131" i="20"/>
  <c r="BG132" i="20"/>
  <c r="BG133" i="20"/>
  <c r="BG134" i="20"/>
  <c r="BG135" i="20"/>
  <c r="BG136" i="20"/>
  <c r="BG137" i="20"/>
  <c r="BG138" i="20"/>
  <c r="BG139" i="20"/>
  <c r="BG140" i="20"/>
  <c r="BG141" i="20"/>
  <c r="BG142" i="20"/>
  <c r="BG143" i="20"/>
  <c r="BG144" i="20"/>
  <c r="BG145" i="20"/>
  <c r="BG146" i="20"/>
  <c r="BG147" i="20"/>
  <c r="BG148" i="20"/>
  <c r="BG149" i="20"/>
  <c r="BG150" i="20"/>
  <c r="BG151" i="20"/>
  <c r="BG152" i="20"/>
  <c r="BG153" i="20"/>
  <c r="BG154" i="20"/>
  <c r="BG155" i="20"/>
  <c r="BG156" i="20"/>
  <c r="BG157" i="20"/>
  <c r="BG158" i="20"/>
  <c r="BG159" i="20"/>
  <c r="BG160" i="20"/>
  <c r="BG161" i="20"/>
  <c r="BG162" i="20"/>
  <c r="BG163" i="20"/>
  <c r="BG164" i="20"/>
  <c r="BG165" i="20"/>
  <c r="BG166" i="20"/>
  <c r="BG167" i="20"/>
  <c r="BG168" i="20"/>
  <c r="BG169" i="20"/>
  <c r="BG170" i="20"/>
  <c r="BG171" i="20"/>
  <c r="BG172" i="20"/>
  <c r="BG173" i="20"/>
  <c r="BG174" i="20"/>
  <c r="BG175" i="20"/>
  <c r="BG176" i="20"/>
  <c r="BG177" i="20"/>
  <c r="BG178" i="20"/>
  <c r="BG179" i="20"/>
  <c r="BG180" i="20"/>
  <c r="BG181" i="20"/>
  <c r="BG182" i="20"/>
  <c r="BG183" i="20"/>
  <c r="BG184" i="20"/>
  <c r="BG185" i="20"/>
  <c r="BG186" i="20"/>
  <c r="BG187" i="20"/>
  <c r="BG188" i="20"/>
  <c r="BG189" i="20"/>
  <c r="BG190" i="20"/>
  <c r="BG191" i="20"/>
  <c r="BG192" i="20"/>
  <c r="BG193" i="20"/>
  <c r="BG194" i="20"/>
  <c r="BG195" i="20"/>
  <c r="BG196" i="20"/>
  <c r="BG197" i="20"/>
  <c r="BG198" i="20"/>
  <c r="BG199" i="20"/>
  <c r="BG200" i="20"/>
  <c r="BG201" i="20"/>
  <c r="BC4" i="20"/>
  <c r="BC5" i="20"/>
  <c r="BC6" i="20"/>
  <c r="BC7" i="20"/>
  <c r="BC8" i="20"/>
  <c r="BC9" i="20"/>
  <c r="BC10" i="20"/>
  <c r="BC11" i="20"/>
  <c r="BC12" i="20"/>
  <c r="BC13" i="20"/>
  <c r="BC14" i="20"/>
  <c r="BC15" i="20"/>
  <c r="BC16" i="20"/>
  <c r="BC17" i="20"/>
  <c r="BC18" i="20"/>
  <c r="BC19" i="20"/>
  <c r="BC20" i="20"/>
  <c r="BC21" i="20"/>
  <c r="BC22" i="20"/>
  <c r="BC23" i="20"/>
  <c r="BC24" i="20"/>
  <c r="BC25" i="20"/>
  <c r="BC26" i="20"/>
  <c r="BC27" i="20"/>
  <c r="BC28" i="20"/>
  <c r="BC29" i="20"/>
  <c r="BC30" i="20"/>
  <c r="BC31" i="20"/>
  <c r="BC32" i="20"/>
  <c r="BC33" i="20"/>
  <c r="BC34" i="20"/>
  <c r="BC35" i="20"/>
  <c r="BC36" i="20"/>
  <c r="BC37" i="20"/>
  <c r="BC38" i="20"/>
  <c r="BC39" i="20"/>
  <c r="BC40" i="20"/>
  <c r="BC41" i="20"/>
  <c r="BC42" i="20"/>
  <c r="BC43" i="20"/>
  <c r="BC44" i="20"/>
  <c r="BC45" i="20"/>
  <c r="BC46" i="20"/>
  <c r="BC47" i="20"/>
  <c r="BC48" i="20"/>
  <c r="BC49" i="20"/>
  <c r="BC50" i="20"/>
  <c r="BC51" i="20"/>
  <c r="BC52" i="20"/>
  <c r="BC53" i="20"/>
  <c r="BC54" i="20"/>
  <c r="BC55" i="20"/>
  <c r="BC56" i="20"/>
  <c r="BC57" i="20"/>
  <c r="BC58" i="20"/>
  <c r="BC59" i="20"/>
  <c r="BC60" i="20"/>
  <c r="BC61" i="20"/>
  <c r="BC62" i="20"/>
  <c r="BC63" i="20"/>
  <c r="BC64" i="20"/>
  <c r="BC65" i="20"/>
  <c r="BC66" i="20"/>
  <c r="BC67" i="20"/>
  <c r="BC68" i="20"/>
  <c r="BC69" i="20"/>
  <c r="BC70" i="20"/>
  <c r="BC71" i="20"/>
  <c r="BC72" i="20"/>
  <c r="BC73" i="20"/>
  <c r="BC74" i="20"/>
  <c r="BC75" i="20"/>
  <c r="BC76" i="20"/>
  <c r="BC77" i="20"/>
  <c r="BC78" i="20"/>
  <c r="BC79" i="20"/>
  <c r="BC80" i="20"/>
  <c r="BC81" i="20"/>
  <c r="BC82" i="20"/>
  <c r="BC83" i="20"/>
  <c r="BC84" i="20"/>
  <c r="BC85" i="20"/>
  <c r="BC86" i="20"/>
  <c r="BC87" i="20"/>
  <c r="BC88" i="20"/>
  <c r="BC89" i="20"/>
  <c r="BC90" i="20"/>
  <c r="BC91" i="20"/>
  <c r="BC92" i="20"/>
  <c r="BC93" i="20"/>
  <c r="BC94" i="20"/>
  <c r="BC95" i="20"/>
  <c r="BC96" i="20"/>
  <c r="BC97" i="20"/>
  <c r="BC98" i="20"/>
  <c r="BC99" i="20"/>
  <c r="BC100" i="20"/>
  <c r="BC101" i="20"/>
  <c r="BC102" i="20"/>
  <c r="BC103" i="20"/>
  <c r="BC104" i="20"/>
  <c r="BC105" i="20"/>
  <c r="BC106" i="20"/>
  <c r="BC107" i="20"/>
  <c r="BC108" i="20"/>
  <c r="BC109" i="20"/>
  <c r="BC110" i="20"/>
  <c r="BC111" i="20"/>
  <c r="BC112" i="20"/>
  <c r="BC113" i="20"/>
  <c r="BC114" i="20"/>
  <c r="BC115" i="20"/>
  <c r="BC116" i="20"/>
  <c r="BC117" i="20"/>
  <c r="BC118" i="20"/>
  <c r="BC119" i="20"/>
  <c r="BC120" i="20"/>
  <c r="BC121" i="20"/>
  <c r="BC122" i="20"/>
  <c r="BC123" i="20"/>
  <c r="BC124" i="20"/>
  <c r="BC125" i="20"/>
  <c r="BC126" i="20"/>
  <c r="BC127" i="20"/>
  <c r="BC128" i="20"/>
  <c r="BC129" i="20"/>
  <c r="BC130" i="20"/>
  <c r="BC131" i="20"/>
  <c r="BC132" i="20"/>
  <c r="BC133" i="20"/>
  <c r="BC134" i="20"/>
  <c r="BC135" i="20"/>
  <c r="BC136" i="20"/>
  <c r="BC137" i="20"/>
  <c r="BC138" i="20"/>
  <c r="BC139" i="20"/>
  <c r="BC140" i="20"/>
  <c r="BC141" i="20"/>
  <c r="BC142" i="20"/>
  <c r="BC143" i="20"/>
  <c r="BC144" i="20"/>
  <c r="BC145" i="20"/>
  <c r="BC146" i="20"/>
  <c r="BC147" i="20"/>
  <c r="BC148" i="20"/>
  <c r="BC149" i="20"/>
  <c r="BC150" i="20"/>
  <c r="BC151" i="20"/>
  <c r="BC152" i="20"/>
  <c r="BC153" i="20"/>
  <c r="BC154" i="20"/>
  <c r="BC155" i="20"/>
  <c r="BC156" i="20"/>
  <c r="BC157" i="20"/>
  <c r="BC158" i="20"/>
  <c r="BC159" i="20"/>
  <c r="BC160" i="20"/>
  <c r="BC161" i="20"/>
  <c r="BC162" i="20"/>
  <c r="BC163" i="20"/>
  <c r="BC164" i="20"/>
  <c r="BC165" i="20"/>
  <c r="BC166" i="20"/>
  <c r="BC167" i="20"/>
  <c r="BC168" i="20"/>
  <c r="BC169" i="20"/>
  <c r="BC170" i="20"/>
  <c r="BC171" i="20"/>
  <c r="BC172" i="20"/>
  <c r="BC173" i="20"/>
  <c r="BC174" i="20"/>
  <c r="BC175" i="20"/>
  <c r="BC176" i="20"/>
  <c r="BC177" i="20"/>
  <c r="BC178" i="20"/>
  <c r="BC179" i="20"/>
  <c r="BC180" i="20"/>
  <c r="BC181" i="20"/>
  <c r="BC182" i="20"/>
  <c r="BC183" i="20"/>
  <c r="BC184" i="20"/>
  <c r="BC185" i="20"/>
  <c r="BC186" i="20"/>
  <c r="BC187" i="20"/>
  <c r="BC188" i="20"/>
  <c r="BC189" i="20"/>
  <c r="BC190" i="20"/>
  <c r="BC191" i="20"/>
  <c r="BC192" i="20"/>
  <c r="BC193" i="20"/>
  <c r="BC194" i="20"/>
  <c r="BC195" i="20"/>
  <c r="BC196" i="20"/>
  <c r="BC197" i="20"/>
  <c r="BC198" i="20"/>
  <c r="BC199" i="20"/>
  <c r="BC200" i="20"/>
  <c r="BC201" i="20"/>
  <c r="AY4" i="20"/>
  <c r="AY5" i="20"/>
  <c r="AY6" i="20"/>
  <c r="AY7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Y57" i="20"/>
  <c r="AY58" i="20"/>
  <c r="AY59" i="20"/>
  <c r="AY60" i="20"/>
  <c r="AY61" i="20"/>
  <c r="AY62" i="20"/>
  <c r="AY63" i="20"/>
  <c r="AY64" i="20"/>
  <c r="AY65" i="20"/>
  <c r="AY66" i="20"/>
  <c r="AY67" i="20"/>
  <c r="AY68" i="20"/>
  <c r="AY69" i="20"/>
  <c r="AY70" i="20"/>
  <c r="AY71" i="20"/>
  <c r="AY72" i="20"/>
  <c r="AY73" i="20"/>
  <c r="AY74" i="20"/>
  <c r="AY75" i="20"/>
  <c r="AY76" i="20"/>
  <c r="AY77" i="20"/>
  <c r="AY78" i="20"/>
  <c r="AY79" i="20"/>
  <c r="AY80" i="20"/>
  <c r="AY81" i="20"/>
  <c r="AY82" i="20"/>
  <c r="AY83" i="20"/>
  <c r="AY84" i="20"/>
  <c r="AY85" i="20"/>
  <c r="AY86" i="20"/>
  <c r="AY87" i="20"/>
  <c r="AY88" i="20"/>
  <c r="AY89" i="20"/>
  <c r="AY90" i="20"/>
  <c r="AY91" i="20"/>
  <c r="AY92" i="20"/>
  <c r="AY93" i="20"/>
  <c r="AY94" i="20"/>
  <c r="AY95" i="20"/>
  <c r="AY96" i="20"/>
  <c r="AY97" i="20"/>
  <c r="AY98" i="20"/>
  <c r="AY99" i="20"/>
  <c r="AY100" i="20"/>
  <c r="AY101" i="20"/>
  <c r="AY102" i="20"/>
  <c r="AY103" i="20"/>
  <c r="AY104" i="20"/>
  <c r="AY105" i="20"/>
  <c r="AY106" i="20"/>
  <c r="AY107" i="20"/>
  <c r="AY108" i="20"/>
  <c r="AY109" i="20"/>
  <c r="AY110" i="20"/>
  <c r="AY111" i="20"/>
  <c r="AY112" i="20"/>
  <c r="AY113" i="20"/>
  <c r="AY114" i="20"/>
  <c r="AY115" i="20"/>
  <c r="AY116" i="20"/>
  <c r="AY117" i="20"/>
  <c r="AY118" i="20"/>
  <c r="AY119" i="20"/>
  <c r="AY120" i="20"/>
  <c r="AY121" i="20"/>
  <c r="AY122" i="20"/>
  <c r="AY123" i="20"/>
  <c r="AY124" i="20"/>
  <c r="AY125" i="20"/>
  <c r="AY126" i="20"/>
  <c r="AY127" i="20"/>
  <c r="AY128" i="20"/>
  <c r="AY129" i="20"/>
  <c r="AY130" i="20"/>
  <c r="AY131" i="20"/>
  <c r="AY132" i="20"/>
  <c r="AY133" i="20"/>
  <c r="AY134" i="20"/>
  <c r="AY135" i="20"/>
  <c r="AY136" i="20"/>
  <c r="AY137" i="20"/>
  <c r="AY138" i="20"/>
  <c r="AY139" i="20"/>
  <c r="AY140" i="20"/>
  <c r="AY141" i="20"/>
  <c r="AY142" i="20"/>
  <c r="AY143" i="20"/>
  <c r="AY144" i="20"/>
  <c r="AY145" i="20"/>
  <c r="AY146" i="20"/>
  <c r="AY147" i="20"/>
  <c r="AY148" i="20"/>
  <c r="AY149" i="20"/>
  <c r="AY150" i="20"/>
  <c r="AY151" i="20"/>
  <c r="AY152" i="20"/>
  <c r="AY153" i="20"/>
  <c r="AY154" i="20"/>
  <c r="AY155" i="20"/>
  <c r="AY156" i="20"/>
  <c r="AY157" i="20"/>
  <c r="AY158" i="20"/>
  <c r="AY159" i="20"/>
  <c r="AY160" i="20"/>
  <c r="AY161" i="20"/>
  <c r="AY162" i="20"/>
  <c r="AY163" i="20"/>
  <c r="AY164" i="20"/>
  <c r="AY165" i="20"/>
  <c r="AY166" i="20"/>
  <c r="AY167" i="20"/>
  <c r="AY168" i="20"/>
  <c r="AY169" i="20"/>
  <c r="AY170" i="20"/>
  <c r="AY171" i="20"/>
  <c r="AY172" i="20"/>
  <c r="AY173" i="20"/>
  <c r="AY174" i="20"/>
  <c r="AY175" i="20"/>
  <c r="AY176" i="20"/>
  <c r="AY177" i="20"/>
  <c r="AY178" i="20"/>
  <c r="AY179" i="20"/>
  <c r="AY180" i="20"/>
  <c r="AY181" i="20"/>
  <c r="AY182" i="20"/>
  <c r="AY183" i="20"/>
  <c r="AY184" i="20"/>
  <c r="AY185" i="20"/>
  <c r="AY186" i="20"/>
  <c r="AY187" i="20"/>
  <c r="AY188" i="20"/>
  <c r="AY189" i="20"/>
  <c r="AY190" i="20"/>
  <c r="AY191" i="20"/>
  <c r="AY192" i="20"/>
  <c r="AY193" i="20"/>
  <c r="AY194" i="20"/>
  <c r="AY195" i="20"/>
  <c r="AY196" i="20"/>
  <c r="AY197" i="20"/>
  <c r="AY198" i="20"/>
  <c r="AY199" i="20"/>
  <c r="AY200" i="20"/>
  <c r="AY201" i="20"/>
  <c r="AP4" i="20"/>
  <c r="AP5" i="20"/>
  <c r="AP6" i="20"/>
  <c r="AP7" i="20"/>
  <c r="AP8" i="20"/>
  <c r="AP9" i="20"/>
  <c r="AP10" i="20"/>
  <c r="AP11" i="20"/>
  <c r="AP12" i="20"/>
  <c r="AP13" i="20"/>
  <c r="AP14" i="20"/>
  <c r="AP15" i="20"/>
  <c r="AP16" i="20"/>
  <c r="AP17" i="20"/>
  <c r="AP18" i="20"/>
  <c r="AP19" i="20"/>
  <c r="AP20" i="20"/>
  <c r="AP21" i="20"/>
  <c r="AP22" i="20"/>
  <c r="AP23" i="20"/>
  <c r="AP24" i="20"/>
  <c r="AP25" i="20"/>
  <c r="AP26" i="20"/>
  <c r="AP27" i="20"/>
  <c r="AP28" i="20"/>
  <c r="AP29" i="20"/>
  <c r="AP30" i="20"/>
  <c r="AP31" i="20"/>
  <c r="AP32" i="20"/>
  <c r="AP33" i="20"/>
  <c r="AP34" i="20"/>
  <c r="AP35" i="20"/>
  <c r="AP36" i="20"/>
  <c r="AP37" i="20"/>
  <c r="AP38" i="20"/>
  <c r="AP39" i="20"/>
  <c r="AP40" i="20"/>
  <c r="AP41" i="20"/>
  <c r="AP42" i="20"/>
  <c r="AP43" i="20"/>
  <c r="AP44" i="20"/>
  <c r="AP45" i="20"/>
  <c r="AP46" i="20"/>
  <c r="AP47" i="20"/>
  <c r="AP48" i="20"/>
  <c r="AP49" i="20"/>
  <c r="AP50" i="20"/>
  <c r="AP51" i="20"/>
  <c r="AP52" i="20"/>
  <c r="AP53" i="20"/>
  <c r="AP54" i="20"/>
  <c r="AP55" i="20"/>
  <c r="AP56" i="20"/>
  <c r="AP57" i="20"/>
  <c r="AP58" i="20"/>
  <c r="AP59" i="20"/>
  <c r="AP60" i="20"/>
  <c r="AP61" i="20"/>
  <c r="AP62" i="20"/>
  <c r="AP63" i="20"/>
  <c r="AP64" i="20"/>
  <c r="AP65" i="20"/>
  <c r="AP66" i="20"/>
  <c r="AP67" i="20"/>
  <c r="AP68" i="20"/>
  <c r="AP69" i="20"/>
  <c r="AP70" i="20"/>
  <c r="AP71" i="20"/>
  <c r="AP72" i="20"/>
  <c r="AP73" i="20"/>
  <c r="AP74" i="20"/>
  <c r="AP75" i="20"/>
  <c r="AP76" i="20"/>
  <c r="AP77" i="20"/>
  <c r="AP78" i="20"/>
  <c r="AP79" i="20"/>
  <c r="AP80" i="20"/>
  <c r="AP81" i="20"/>
  <c r="AP82" i="20"/>
  <c r="AP83" i="20"/>
  <c r="AP84" i="20"/>
  <c r="AP85" i="20"/>
  <c r="AP86" i="20"/>
  <c r="AP87" i="20"/>
  <c r="AP88" i="20"/>
  <c r="AP89" i="20"/>
  <c r="AP90" i="20"/>
  <c r="AP91" i="20"/>
  <c r="AP92" i="20"/>
  <c r="AP93" i="20"/>
  <c r="AP94" i="20"/>
  <c r="AP95" i="20"/>
  <c r="AP96" i="20"/>
  <c r="AP97" i="20"/>
  <c r="AP98" i="20"/>
  <c r="AP99" i="20"/>
  <c r="AP100" i="20"/>
  <c r="AP101" i="20"/>
  <c r="AP102" i="20"/>
  <c r="AP103" i="20"/>
  <c r="AP104" i="20"/>
  <c r="AP105" i="20"/>
  <c r="AP106" i="20"/>
  <c r="AP107" i="20"/>
  <c r="AP108" i="20"/>
  <c r="AP109" i="20"/>
  <c r="AP110" i="20"/>
  <c r="AP111" i="20"/>
  <c r="AP112" i="20"/>
  <c r="AP113" i="20"/>
  <c r="AP114" i="20"/>
  <c r="AP115" i="20"/>
  <c r="AP116" i="20"/>
  <c r="AP117" i="20"/>
  <c r="AP118" i="20"/>
  <c r="AP119" i="20"/>
  <c r="AP120" i="20"/>
  <c r="AP121" i="20"/>
  <c r="AP122" i="20"/>
  <c r="AP123" i="20"/>
  <c r="AP124" i="20"/>
  <c r="AP125" i="20"/>
  <c r="AP126" i="20"/>
  <c r="AP127" i="20"/>
  <c r="AP128" i="20"/>
  <c r="AP129" i="20"/>
  <c r="AP130" i="20"/>
  <c r="AP131" i="20"/>
  <c r="AP132" i="20"/>
  <c r="AP133" i="20"/>
  <c r="AP134" i="20"/>
  <c r="AP135" i="20"/>
  <c r="AP136" i="20"/>
  <c r="AP137" i="20"/>
  <c r="AP138" i="20"/>
  <c r="AP139" i="20"/>
  <c r="AP140" i="20"/>
  <c r="AP141" i="20"/>
  <c r="AP142" i="20"/>
  <c r="AP143" i="20"/>
  <c r="AP144" i="20"/>
  <c r="AP145" i="20"/>
  <c r="AP146" i="20"/>
  <c r="AP147" i="20"/>
  <c r="AP148" i="20"/>
  <c r="AP149" i="20"/>
  <c r="AP150" i="20"/>
  <c r="AP151" i="20"/>
  <c r="AP152" i="20"/>
  <c r="AP153" i="20"/>
  <c r="AP154" i="20"/>
  <c r="AP155" i="20"/>
  <c r="AP156" i="20"/>
  <c r="AP157" i="20"/>
  <c r="AP158" i="20"/>
  <c r="AP159" i="20"/>
  <c r="AP160" i="20"/>
  <c r="AP161" i="20"/>
  <c r="AP162" i="20"/>
  <c r="AP163" i="20"/>
  <c r="AP164" i="20"/>
  <c r="AP165" i="20"/>
  <c r="AP166" i="20"/>
  <c r="AP167" i="20"/>
  <c r="AP168" i="20"/>
  <c r="AP169" i="20"/>
  <c r="AP170" i="20"/>
  <c r="AP171" i="20"/>
  <c r="AP172" i="20"/>
  <c r="AP173" i="20"/>
  <c r="AP174" i="20"/>
  <c r="AP175" i="20"/>
  <c r="AP176" i="20"/>
  <c r="AP177" i="20"/>
  <c r="AP178" i="20"/>
  <c r="AP179" i="20"/>
  <c r="AP180" i="20"/>
  <c r="AP181" i="20"/>
  <c r="AP182" i="20"/>
  <c r="AP183" i="20"/>
  <c r="AP184" i="20"/>
  <c r="AP185" i="20"/>
  <c r="AP186" i="20"/>
  <c r="AP187" i="20"/>
  <c r="AP188" i="20"/>
  <c r="AP189" i="20"/>
  <c r="AP190" i="20"/>
  <c r="AP191" i="20"/>
  <c r="AP192" i="20"/>
  <c r="AP193" i="20"/>
  <c r="AP194" i="20"/>
  <c r="AP195" i="20"/>
  <c r="AP196" i="20"/>
  <c r="AP197" i="20"/>
  <c r="AP198" i="20"/>
  <c r="AP199" i="20"/>
  <c r="AP200" i="20"/>
  <c r="AP201" i="20"/>
  <c r="AL4" i="20"/>
  <c r="AL5" i="20"/>
  <c r="AL6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43" i="20"/>
  <c r="AL44" i="20"/>
  <c r="AL45" i="20"/>
  <c r="AL46" i="20"/>
  <c r="AL47" i="20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AL74" i="20"/>
  <c r="AL75" i="20"/>
  <c r="AL76" i="20"/>
  <c r="AL77" i="20"/>
  <c r="AL78" i="20"/>
  <c r="AL79" i="20"/>
  <c r="AL80" i="20"/>
  <c r="AL81" i="20"/>
  <c r="AL82" i="20"/>
  <c r="AL83" i="20"/>
  <c r="AL84" i="20"/>
  <c r="AL85" i="20"/>
  <c r="AL86" i="20"/>
  <c r="AL87" i="20"/>
  <c r="AL88" i="20"/>
  <c r="AL89" i="20"/>
  <c r="AL90" i="20"/>
  <c r="AL91" i="20"/>
  <c r="AL92" i="20"/>
  <c r="AL93" i="20"/>
  <c r="AL94" i="20"/>
  <c r="AL95" i="20"/>
  <c r="AL96" i="20"/>
  <c r="AL97" i="20"/>
  <c r="AL98" i="20"/>
  <c r="AL99" i="20"/>
  <c r="AL100" i="20"/>
  <c r="AL101" i="20"/>
  <c r="AL102" i="20"/>
  <c r="AL103" i="20"/>
  <c r="AL104" i="20"/>
  <c r="AL105" i="20"/>
  <c r="AL106" i="20"/>
  <c r="AL107" i="20"/>
  <c r="AL108" i="20"/>
  <c r="AL109" i="20"/>
  <c r="AL110" i="20"/>
  <c r="AL111" i="20"/>
  <c r="AL112" i="20"/>
  <c r="AL113" i="20"/>
  <c r="AL114" i="20"/>
  <c r="AL115" i="20"/>
  <c r="AL116" i="20"/>
  <c r="AL117" i="20"/>
  <c r="AL118" i="20"/>
  <c r="AL119" i="20"/>
  <c r="AL120" i="20"/>
  <c r="AL121" i="20"/>
  <c r="AL122" i="20"/>
  <c r="AL123" i="20"/>
  <c r="AL124" i="20"/>
  <c r="AL125" i="20"/>
  <c r="AL126" i="20"/>
  <c r="AL127" i="20"/>
  <c r="AL128" i="20"/>
  <c r="AL129" i="20"/>
  <c r="AL130" i="20"/>
  <c r="AL131" i="20"/>
  <c r="AL132" i="20"/>
  <c r="AL133" i="20"/>
  <c r="AL134" i="20"/>
  <c r="AL135" i="20"/>
  <c r="AL136" i="20"/>
  <c r="AL137" i="20"/>
  <c r="AL138" i="20"/>
  <c r="AL139" i="20"/>
  <c r="AL140" i="20"/>
  <c r="AL141" i="20"/>
  <c r="AL142" i="20"/>
  <c r="AL143" i="20"/>
  <c r="AL144" i="20"/>
  <c r="AL145" i="20"/>
  <c r="AL146" i="20"/>
  <c r="AL147" i="20"/>
  <c r="AL148" i="20"/>
  <c r="AL149" i="20"/>
  <c r="AL150" i="20"/>
  <c r="AL151" i="20"/>
  <c r="AL152" i="20"/>
  <c r="AL153" i="20"/>
  <c r="AL154" i="20"/>
  <c r="AL155" i="20"/>
  <c r="AL156" i="20"/>
  <c r="AL157" i="20"/>
  <c r="AL158" i="20"/>
  <c r="AL159" i="20"/>
  <c r="AL160" i="20"/>
  <c r="AL161" i="20"/>
  <c r="AL162" i="20"/>
  <c r="AL163" i="20"/>
  <c r="AL164" i="20"/>
  <c r="AL165" i="20"/>
  <c r="AL166" i="20"/>
  <c r="AL167" i="20"/>
  <c r="AL168" i="20"/>
  <c r="AL169" i="20"/>
  <c r="AL170" i="20"/>
  <c r="AL171" i="20"/>
  <c r="AL172" i="20"/>
  <c r="AL173" i="20"/>
  <c r="AL174" i="20"/>
  <c r="AL175" i="20"/>
  <c r="AL176" i="20"/>
  <c r="AL177" i="20"/>
  <c r="AL178" i="20"/>
  <c r="AL179" i="20"/>
  <c r="AL180" i="20"/>
  <c r="AL181" i="20"/>
  <c r="AL182" i="20"/>
  <c r="AL183" i="20"/>
  <c r="AL184" i="20"/>
  <c r="AL185" i="20"/>
  <c r="AL186" i="20"/>
  <c r="AL187" i="20"/>
  <c r="AL188" i="20"/>
  <c r="AL189" i="20"/>
  <c r="AL190" i="20"/>
  <c r="AL191" i="20"/>
  <c r="AL192" i="20"/>
  <c r="AL193" i="20"/>
  <c r="AL194" i="20"/>
  <c r="AL195" i="20"/>
  <c r="AL196" i="20"/>
  <c r="AL197" i="20"/>
  <c r="AL198" i="20"/>
  <c r="AL199" i="20"/>
  <c r="AL200" i="20"/>
  <c r="AL201" i="20"/>
  <c r="AH4" i="20"/>
  <c r="AH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H64" i="20"/>
  <c r="AH65" i="20"/>
  <c r="AH66" i="20"/>
  <c r="AH67" i="20"/>
  <c r="AH68" i="20"/>
  <c r="AH69" i="20"/>
  <c r="AH70" i="20"/>
  <c r="AH71" i="20"/>
  <c r="AH72" i="20"/>
  <c r="AH73" i="20"/>
  <c r="AH74" i="20"/>
  <c r="AH75" i="20"/>
  <c r="AH76" i="20"/>
  <c r="AH77" i="20"/>
  <c r="AH78" i="20"/>
  <c r="AH79" i="20"/>
  <c r="AH80" i="20"/>
  <c r="AH81" i="20"/>
  <c r="AH82" i="20"/>
  <c r="AH83" i="20"/>
  <c r="AH84" i="20"/>
  <c r="AH85" i="20"/>
  <c r="AH86" i="20"/>
  <c r="AH87" i="20"/>
  <c r="AH88" i="20"/>
  <c r="AH89" i="20"/>
  <c r="AH90" i="20"/>
  <c r="AH91" i="20"/>
  <c r="AH92" i="20"/>
  <c r="AH93" i="20"/>
  <c r="AH94" i="20"/>
  <c r="AH95" i="20"/>
  <c r="AH96" i="20"/>
  <c r="AH97" i="20"/>
  <c r="AH98" i="20"/>
  <c r="AH99" i="20"/>
  <c r="AH100" i="20"/>
  <c r="AH101" i="20"/>
  <c r="AH102" i="20"/>
  <c r="AH103" i="20"/>
  <c r="AH104" i="20"/>
  <c r="AH105" i="20"/>
  <c r="AH106" i="20"/>
  <c r="AH107" i="20"/>
  <c r="AH108" i="20"/>
  <c r="AH109" i="20"/>
  <c r="AH110" i="20"/>
  <c r="AH111" i="20"/>
  <c r="AH112" i="20"/>
  <c r="AH113" i="20"/>
  <c r="AH114" i="20"/>
  <c r="AH115" i="20"/>
  <c r="AH116" i="20"/>
  <c r="AH117" i="20"/>
  <c r="AH118" i="20"/>
  <c r="AH119" i="20"/>
  <c r="AH120" i="20"/>
  <c r="AH121" i="20"/>
  <c r="AH122" i="20"/>
  <c r="AH123" i="20"/>
  <c r="AH124" i="20"/>
  <c r="AH125" i="20"/>
  <c r="AH126" i="20"/>
  <c r="AH127" i="20"/>
  <c r="AH128" i="20"/>
  <c r="AH129" i="20"/>
  <c r="AH130" i="20"/>
  <c r="AH131" i="20"/>
  <c r="AH132" i="20"/>
  <c r="AH133" i="20"/>
  <c r="AH134" i="20"/>
  <c r="AH135" i="20"/>
  <c r="AH136" i="20"/>
  <c r="AH137" i="20"/>
  <c r="AH138" i="20"/>
  <c r="AH139" i="20"/>
  <c r="AH140" i="20"/>
  <c r="AH141" i="20"/>
  <c r="AH142" i="20"/>
  <c r="AH143" i="20"/>
  <c r="AH144" i="20"/>
  <c r="AH145" i="20"/>
  <c r="AH146" i="20"/>
  <c r="AH147" i="20"/>
  <c r="AH148" i="20"/>
  <c r="AH149" i="20"/>
  <c r="AH150" i="20"/>
  <c r="AH151" i="20"/>
  <c r="AH152" i="20"/>
  <c r="AH153" i="20"/>
  <c r="AH154" i="20"/>
  <c r="AH155" i="20"/>
  <c r="AH156" i="20"/>
  <c r="AH157" i="20"/>
  <c r="AH158" i="20"/>
  <c r="AH159" i="20"/>
  <c r="AH160" i="20"/>
  <c r="AH161" i="20"/>
  <c r="AH162" i="20"/>
  <c r="AH163" i="20"/>
  <c r="AH164" i="20"/>
  <c r="AH165" i="20"/>
  <c r="AH166" i="20"/>
  <c r="AH167" i="20"/>
  <c r="AH168" i="20"/>
  <c r="AH169" i="20"/>
  <c r="AH170" i="20"/>
  <c r="AH171" i="20"/>
  <c r="AH172" i="20"/>
  <c r="AH173" i="20"/>
  <c r="AH174" i="20"/>
  <c r="AH175" i="20"/>
  <c r="AH176" i="20"/>
  <c r="AH177" i="20"/>
  <c r="AH178" i="20"/>
  <c r="AH179" i="20"/>
  <c r="AH180" i="20"/>
  <c r="AH181" i="20"/>
  <c r="AH182" i="20"/>
  <c r="AH183" i="20"/>
  <c r="AH184" i="20"/>
  <c r="AH185" i="20"/>
  <c r="AH186" i="20"/>
  <c r="AH187" i="20"/>
  <c r="AH188" i="20"/>
  <c r="AH189" i="20"/>
  <c r="AH190" i="20"/>
  <c r="AH191" i="20"/>
  <c r="AH192" i="20"/>
  <c r="AH193" i="20"/>
  <c r="AH194" i="20"/>
  <c r="AH195" i="20"/>
  <c r="AH196" i="20"/>
  <c r="AH197" i="20"/>
  <c r="AH198" i="20"/>
  <c r="AH199" i="20"/>
  <c r="AH200" i="20"/>
  <c r="AH201" i="20"/>
  <c r="Y4" i="20"/>
  <c r="Y5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48" i="20"/>
  <c r="Y49" i="20"/>
  <c r="Y50" i="20"/>
  <c r="Y51" i="20"/>
  <c r="Y52" i="20"/>
  <c r="Y53" i="20"/>
  <c r="Y54" i="20"/>
  <c r="Y55" i="20"/>
  <c r="Y56" i="20"/>
  <c r="Y57" i="20"/>
  <c r="Y58" i="20"/>
  <c r="Y59" i="20"/>
  <c r="Y60" i="20"/>
  <c r="Y61" i="20"/>
  <c r="Y62" i="20"/>
  <c r="Y63" i="20"/>
  <c r="Y64" i="20"/>
  <c r="Y65" i="20"/>
  <c r="Y66" i="20"/>
  <c r="Y67" i="20"/>
  <c r="Y68" i="20"/>
  <c r="Y69" i="20"/>
  <c r="Y70" i="20"/>
  <c r="Y71" i="20"/>
  <c r="Y72" i="20"/>
  <c r="Y73" i="20"/>
  <c r="Y74" i="20"/>
  <c r="Y75" i="20"/>
  <c r="Y76" i="20"/>
  <c r="Y77" i="20"/>
  <c r="Y78" i="20"/>
  <c r="Y79" i="20"/>
  <c r="Y80" i="20"/>
  <c r="Y81" i="20"/>
  <c r="Y82" i="20"/>
  <c r="Y83" i="20"/>
  <c r="Y84" i="20"/>
  <c r="Y85" i="20"/>
  <c r="Y86" i="20"/>
  <c r="Y87" i="20"/>
  <c r="Y88" i="20"/>
  <c r="Y89" i="20"/>
  <c r="Y90" i="20"/>
  <c r="Y91" i="20"/>
  <c r="Y92" i="20"/>
  <c r="Y93" i="20"/>
  <c r="Y94" i="20"/>
  <c r="Y95" i="20"/>
  <c r="Y96" i="20"/>
  <c r="Y97" i="20"/>
  <c r="Y98" i="20"/>
  <c r="Y99" i="20"/>
  <c r="Y100" i="20"/>
  <c r="Y101" i="20"/>
  <c r="Y102" i="20"/>
  <c r="Y103" i="20"/>
  <c r="Y104" i="20"/>
  <c r="Y105" i="20"/>
  <c r="Y106" i="20"/>
  <c r="Y107" i="20"/>
  <c r="Y108" i="20"/>
  <c r="Y109" i="20"/>
  <c r="Y110" i="20"/>
  <c r="Y111" i="20"/>
  <c r="Y112" i="20"/>
  <c r="Y113" i="20"/>
  <c r="Y114" i="20"/>
  <c r="Y115" i="20"/>
  <c r="Y116" i="20"/>
  <c r="Y117" i="20"/>
  <c r="Y118" i="20"/>
  <c r="Y119" i="20"/>
  <c r="Y120" i="20"/>
  <c r="Y121" i="20"/>
  <c r="Y122" i="20"/>
  <c r="Y123" i="20"/>
  <c r="Y124" i="20"/>
  <c r="Y125" i="20"/>
  <c r="Y126" i="20"/>
  <c r="Y127" i="20"/>
  <c r="Y128" i="20"/>
  <c r="Y129" i="20"/>
  <c r="Y130" i="20"/>
  <c r="Y131" i="20"/>
  <c r="Y132" i="20"/>
  <c r="Y133" i="20"/>
  <c r="Y134" i="20"/>
  <c r="Y135" i="20"/>
  <c r="Y136" i="20"/>
  <c r="Y137" i="20"/>
  <c r="Y138" i="20"/>
  <c r="Y139" i="20"/>
  <c r="Y140" i="20"/>
  <c r="Y141" i="20"/>
  <c r="Y142" i="20"/>
  <c r="Y143" i="20"/>
  <c r="Y144" i="20"/>
  <c r="Y145" i="20"/>
  <c r="Y146" i="20"/>
  <c r="Y147" i="20"/>
  <c r="Y148" i="20"/>
  <c r="Y149" i="20"/>
  <c r="Y150" i="20"/>
  <c r="Y151" i="20"/>
  <c r="Y152" i="20"/>
  <c r="Y153" i="20"/>
  <c r="Y154" i="20"/>
  <c r="Y155" i="20"/>
  <c r="Y156" i="20"/>
  <c r="Y157" i="20"/>
  <c r="Y158" i="20"/>
  <c r="Y159" i="20"/>
  <c r="Y160" i="20"/>
  <c r="Y161" i="20"/>
  <c r="Y162" i="20"/>
  <c r="Y163" i="20"/>
  <c r="Y164" i="20"/>
  <c r="Y165" i="20"/>
  <c r="Y166" i="20"/>
  <c r="Y167" i="20"/>
  <c r="Y168" i="20"/>
  <c r="Y169" i="20"/>
  <c r="Y170" i="20"/>
  <c r="Y171" i="20"/>
  <c r="Y172" i="20"/>
  <c r="Y173" i="20"/>
  <c r="Y174" i="20"/>
  <c r="Y175" i="20"/>
  <c r="Y176" i="20"/>
  <c r="Y177" i="20"/>
  <c r="Y178" i="20"/>
  <c r="Y179" i="20"/>
  <c r="Y180" i="20"/>
  <c r="Y181" i="20"/>
  <c r="Y182" i="20"/>
  <c r="Y183" i="20"/>
  <c r="Y184" i="20"/>
  <c r="Y185" i="20"/>
  <c r="Y186" i="20"/>
  <c r="Y187" i="20"/>
  <c r="Y188" i="20"/>
  <c r="Y189" i="20"/>
  <c r="Y190" i="20"/>
  <c r="Y191" i="20"/>
  <c r="Y192" i="20"/>
  <c r="Y193" i="20"/>
  <c r="Y194" i="20"/>
  <c r="Y195" i="20"/>
  <c r="Y196" i="20"/>
  <c r="Y197" i="20"/>
  <c r="Y198" i="20"/>
  <c r="Y199" i="20"/>
  <c r="Y200" i="20"/>
  <c r="Y201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71" i="20"/>
  <c r="U72" i="20"/>
  <c r="U73" i="20"/>
  <c r="U74" i="20"/>
  <c r="U75" i="20"/>
  <c r="U76" i="20"/>
  <c r="U77" i="20"/>
  <c r="U78" i="20"/>
  <c r="U79" i="20"/>
  <c r="U80" i="20"/>
  <c r="U81" i="20"/>
  <c r="U82" i="20"/>
  <c r="U83" i="20"/>
  <c r="U84" i="20"/>
  <c r="U85" i="20"/>
  <c r="U86" i="20"/>
  <c r="U87" i="20"/>
  <c r="U88" i="20"/>
  <c r="U89" i="20"/>
  <c r="U90" i="20"/>
  <c r="U91" i="20"/>
  <c r="U92" i="20"/>
  <c r="U93" i="20"/>
  <c r="U94" i="20"/>
  <c r="U95" i="20"/>
  <c r="U96" i="20"/>
  <c r="U97" i="20"/>
  <c r="U98" i="20"/>
  <c r="U99" i="20"/>
  <c r="U100" i="20"/>
  <c r="U101" i="20"/>
  <c r="U102" i="20"/>
  <c r="U103" i="20"/>
  <c r="U104" i="20"/>
  <c r="U105" i="20"/>
  <c r="U106" i="20"/>
  <c r="U107" i="20"/>
  <c r="U108" i="20"/>
  <c r="U109" i="20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U125" i="20"/>
  <c r="U126" i="20"/>
  <c r="U127" i="20"/>
  <c r="U128" i="20"/>
  <c r="U129" i="20"/>
  <c r="U130" i="20"/>
  <c r="U131" i="20"/>
  <c r="U132" i="20"/>
  <c r="U133" i="20"/>
  <c r="U134" i="20"/>
  <c r="U135" i="20"/>
  <c r="U136" i="20"/>
  <c r="U137" i="20"/>
  <c r="U138" i="20"/>
  <c r="U139" i="20"/>
  <c r="U140" i="20"/>
  <c r="U141" i="20"/>
  <c r="U142" i="20"/>
  <c r="U143" i="20"/>
  <c r="U144" i="20"/>
  <c r="U145" i="20"/>
  <c r="U146" i="20"/>
  <c r="U147" i="20"/>
  <c r="U148" i="20"/>
  <c r="U149" i="20"/>
  <c r="U150" i="20"/>
  <c r="U151" i="20"/>
  <c r="U152" i="20"/>
  <c r="U153" i="20"/>
  <c r="U154" i="20"/>
  <c r="U155" i="20"/>
  <c r="U156" i="20"/>
  <c r="U157" i="20"/>
  <c r="U158" i="20"/>
  <c r="U159" i="20"/>
  <c r="U160" i="20"/>
  <c r="U161" i="20"/>
  <c r="U162" i="20"/>
  <c r="U163" i="20"/>
  <c r="U164" i="20"/>
  <c r="U165" i="20"/>
  <c r="U166" i="20"/>
  <c r="U167" i="20"/>
  <c r="U168" i="20"/>
  <c r="U169" i="20"/>
  <c r="U170" i="20"/>
  <c r="U171" i="20"/>
  <c r="U172" i="20"/>
  <c r="U173" i="20"/>
  <c r="U174" i="20"/>
  <c r="U175" i="20"/>
  <c r="U176" i="20"/>
  <c r="U177" i="20"/>
  <c r="U178" i="20"/>
  <c r="U179" i="20"/>
  <c r="U180" i="20"/>
  <c r="U181" i="20"/>
  <c r="U182" i="20"/>
  <c r="U183" i="20"/>
  <c r="U184" i="20"/>
  <c r="U185" i="20"/>
  <c r="U186" i="20"/>
  <c r="U187" i="20"/>
  <c r="U188" i="20"/>
  <c r="U189" i="20"/>
  <c r="U190" i="20"/>
  <c r="U191" i="20"/>
  <c r="U192" i="20"/>
  <c r="U193" i="20"/>
  <c r="U194" i="20"/>
  <c r="U195" i="20"/>
  <c r="U196" i="20"/>
  <c r="U197" i="20"/>
  <c r="U198" i="20"/>
  <c r="U199" i="20"/>
  <c r="U200" i="20"/>
  <c r="U201" i="20"/>
  <c r="Q4" i="20"/>
  <c r="Q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7" i="20"/>
  <c r="Q138" i="20"/>
  <c r="Q139" i="20"/>
  <c r="Q140" i="20"/>
  <c r="Q141" i="20"/>
  <c r="Q142" i="20"/>
  <c r="Q143" i="20"/>
  <c r="Q144" i="20"/>
  <c r="Q145" i="20"/>
  <c r="Q146" i="20"/>
  <c r="Q147" i="20"/>
  <c r="Q148" i="20"/>
  <c r="Q149" i="20"/>
  <c r="Q150" i="20"/>
  <c r="Q151" i="20"/>
  <c r="Q152" i="20"/>
  <c r="Q153" i="20"/>
  <c r="Q154" i="20"/>
  <c r="Q155" i="20"/>
  <c r="Q156" i="20"/>
  <c r="Q157" i="20"/>
  <c r="Q158" i="20"/>
  <c r="Q159" i="20"/>
  <c r="Q160" i="20"/>
  <c r="Q161" i="20"/>
  <c r="Q162" i="20"/>
  <c r="Q163" i="20"/>
  <c r="Q164" i="20"/>
  <c r="Q165" i="20"/>
  <c r="Q166" i="20"/>
  <c r="Q167" i="20"/>
  <c r="Q168" i="20"/>
  <c r="Q169" i="20"/>
  <c r="Q170" i="20"/>
  <c r="Q171" i="20"/>
  <c r="Q172" i="20"/>
  <c r="Q173" i="20"/>
  <c r="Q174" i="20"/>
  <c r="Q175" i="20"/>
  <c r="Q176" i="20"/>
  <c r="Q177" i="20"/>
  <c r="Q178" i="20"/>
  <c r="Q179" i="20"/>
  <c r="Q180" i="20"/>
  <c r="Q181" i="20"/>
  <c r="Q182" i="20"/>
  <c r="Q183" i="20"/>
  <c r="Q184" i="20"/>
  <c r="Q185" i="20"/>
  <c r="Q186" i="20"/>
  <c r="Q187" i="20"/>
  <c r="Q188" i="20"/>
  <c r="Q189" i="20"/>
  <c r="Q190" i="20"/>
  <c r="Q191" i="20"/>
  <c r="Q192" i="20"/>
  <c r="Q193" i="20"/>
  <c r="Q194" i="20"/>
  <c r="Q195" i="20"/>
  <c r="Q196" i="20"/>
  <c r="Q197" i="20"/>
  <c r="Q198" i="20"/>
  <c r="Q199" i="20"/>
  <c r="Q200" i="20"/>
  <c r="Q201" i="20"/>
  <c r="BG4" i="19"/>
  <c r="BG5" i="19"/>
  <c r="BG6" i="19"/>
  <c r="BG7" i="19"/>
  <c r="BG8" i="19"/>
  <c r="BG9" i="19"/>
  <c r="BG10" i="19"/>
  <c r="BG11" i="19"/>
  <c r="BG12" i="19"/>
  <c r="BG13" i="19"/>
  <c r="BG14" i="19"/>
  <c r="BG15" i="19"/>
  <c r="BG16" i="19"/>
  <c r="BG17" i="19"/>
  <c r="BG18" i="19"/>
  <c r="BG19" i="19"/>
  <c r="BG20" i="19"/>
  <c r="BG21" i="19"/>
  <c r="BG22" i="19"/>
  <c r="BG23" i="19"/>
  <c r="BG24" i="19"/>
  <c r="BG25" i="19"/>
  <c r="BG26" i="19"/>
  <c r="BG27" i="19"/>
  <c r="BG28" i="19"/>
  <c r="BG29" i="19"/>
  <c r="BG30" i="19"/>
  <c r="BG31" i="19"/>
  <c r="BG32" i="19"/>
  <c r="BG33" i="19"/>
  <c r="BG34" i="19"/>
  <c r="BG35" i="19"/>
  <c r="BG36" i="19"/>
  <c r="BG37" i="19"/>
  <c r="BG38" i="19"/>
  <c r="BG39" i="19"/>
  <c r="BG40" i="19"/>
  <c r="BG41" i="19"/>
  <c r="BG42" i="19"/>
  <c r="BG43" i="19"/>
  <c r="BG44" i="19"/>
  <c r="BG45" i="19"/>
  <c r="BG46" i="19"/>
  <c r="BG47" i="19"/>
  <c r="BG48" i="19"/>
  <c r="BG49" i="19"/>
  <c r="BG50" i="19"/>
  <c r="BG51" i="19"/>
  <c r="BG52" i="19"/>
  <c r="BG53" i="19"/>
  <c r="BG54" i="19"/>
  <c r="BG55" i="19"/>
  <c r="BG56" i="19"/>
  <c r="BG57" i="19"/>
  <c r="BG58" i="19"/>
  <c r="BG59" i="19"/>
  <c r="BG60" i="19"/>
  <c r="BG61" i="19"/>
  <c r="BG62" i="19"/>
  <c r="BG63" i="19"/>
  <c r="BG64" i="19"/>
  <c r="BG65" i="19"/>
  <c r="BG66" i="19"/>
  <c r="BG67" i="19"/>
  <c r="BG68" i="19"/>
  <c r="BG69" i="19"/>
  <c r="BG70" i="19"/>
  <c r="BG71" i="19"/>
  <c r="BG72" i="19"/>
  <c r="BG73" i="19"/>
  <c r="BG74" i="19"/>
  <c r="BG75" i="19"/>
  <c r="BG76" i="19"/>
  <c r="BG77" i="19"/>
  <c r="BG78" i="19"/>
  <c r="BG79" i="19"/>
  <c r="BG80" i="19"/>
  <c r="BG81" i="19"/>
  <c r="BG82" i="19"/>
  <c r="BG83" i="19"/>
  <c r="BG84" i="19"/>
  <c r="BG85" i="19"/>
  <c r="BG86" i="19"/>
  <c r="BG87" i="19"/>
  <c r="BG88" i="19"/>
  <c r="BG89" i="19"/>
  <c r="BG90" i="19"/>
  <c r="BG91" i="19"/>
  <c r="BG92" i="19"/>
  <c r="BG93" i="19"/>
  <c r="BG94" i="19"/>
  <c r="BG95" i="19"/>
  <c r="BG96" i="19"/>
  <c r="BG97" i="19"/>
  <c r="BG98" i="19"/>
  <c r="BG99" i="19"/>
  <c r="BG100" i="19"/>
  <c r="BG101" i="19"/>
  <c r="BG102" i="19"/>
  <c r="BG103" i="19"/>
  <c r="BG104" i="19"/>
  <c r="BG105" i="19"/>
  <c r="BG106" i="19"/>
  <c r="BG107" i="19"/>
  <c r="BG108" i="19"/>
  <c r="BG109" i="19"/>
  <c r="BG110" i="19"/>
  <c r="BG111" i="19"/>
  <c r="BG112" i="19"/>
  <c r="BG113" i="19"/>
  <c r="BG114" i="19"/>
  <c r="BG115" i="19"/>
  <c r="BG116" i="19"/>
  <c r="BG117" i="19"/>
  <c r="BG118" i="19"/>
  <c r="BG119" i="19"/>
  <c r="BG120" i="19"/>
  <c r="BG121" i="19"/>
  <c r="BG122" i="19"/>
  <c r="BG123" i="19"/>
  <c r="BG124" i="19"/>
  <c r="BG125" i="19"/>
  <c r="BG126" i="19"/>
  <c r="BG127" i="19"/>
  <c r="BG128" i="19"/>
  <c r="BG129" i="19"/>
  <c r="BG130" i="19"/>
  <c r="BG131" i="19"/>
  <c r="BG132" i="19"/>
  <c r="BG133" i="19"/>
  <c r="BG134" i="19"/>
  <c r="BG135" i="19"/>
  <c r="BG136" i="19"/>
  <c r="BG137" i="19"/>
  <c r="BG138" i="19"/>
  <c r="BG139" i="19"/>
  <c r="BG140" i="19"/>
  <c r="BG141" i="19"/>
  <c r="BG142" i="19"/>
  <c r="BG143" i="19"/>
  <c r="BG144" i="19"/>
  <c r="BG145" i="19"/>
  <c r="BG146" i="19"/>
  <c r="BG147" i="19"/>
  <c r="BG148" i="19"/>
  <c r="BG149" i="19"/>
  <c r="BG150" i="19"/>
  <c r="BG151" i="19"/>
  <c r="BG152" i="19"/>
  <c r="BG153" i="19"/>
  <c r="BG154" i="19"/>
  <c r="BG155" i="19"/>
  <c r="BG156" i="19"/>
  <c r="BG157" i="19"/>
  <c r="BG158" i="19"/>
  <c r="BG159" i="19"/>
  <c r="BG160" i="19"/>
  <c r="BG161" i="19"/>
  <c r="BG162" i="19"/>
  <c r="BG163" i="19"/>
  <c r="BG164" i="19"/>
  <c r="BG165" i="19"/>
  <c r="BG166" i="19"/>
  <c r="BG167" i="19"/>
  <c r="BG168" i="19"/>
  <c r="BG169" i="19"/>
  <c r="BG170" i="19"/>
  <c r="BG171" i="19"/>
  <c r="BG172" i="19"/>
  <c r="BG173" i="19"/>
  <c r="BG174" i="19"/>
  <c r="BG175" i="19"/>
  <c r="BG176" i="19"/>
  <c r="BG177" i="19"/>
  <c r="BG178" i="19"/>
  <c r="BG179" i="19"/>
  <c r="BG180" i="19"/>
  <c r="BG181" i="19"/>
  <c r="BG182" i="19"/>
  <c r="BG183" i="19"/>
  <c r="BG184" i="19"/>
  <c r="BG185" i="19"/>
  <c r="BG186" i="19"/>
  <c r="BG187" i="19"/>
  <c r="BG188" i="19"/>
  <c r="BG189" i="19"/>
  <c r="BG190" i="19"/>
  <c r="BG191" i="19"/>
  <c r="BG192" i="19"/>
  <c r="BG193" i="19"/>
  <c r="BG194" i="19"/>
  <c r="BG195" i="19"/>
  <c r="BG196" i="19"/>
  <c r="BG197" i="19"/>
  <c r="BG198" i="19"/>
  <c r="BG199" i="19"/>
  <c r="BG200" i="19"/>
  <c r="BG201" i="19"/>
  <c r="BC4" i="19"/>
  <c r="BC5" i="19"/>
  <c r="BC6" i="19"/>
  <c r="BC7" i="19"/>
  <c r="BC8" i="19"/>
  <c r="BC9" i="19"/>
  <c r="BC10" i="19"/>
  <c r="BC11" i="19"/>
  <c r="BC12" i="19"/>
  <c r="BC13" i="19"/>
  <c r="BC14" i="19"/>
  <c r="BC15" i="19"/>
  <c r="BC16" i="19"/>
  <c r="BC17" i="19"/>
  <c r="BC18" i="19"/>
  <c r="BC19" i="19"/>
  <c r="BC20" i="19"/>
  <c r="BC21" i="19"/>
  <c r="BC22" i="19"/>
  <c r="BC23" i="19"/>
  <c r="BC24" i="19"/>
  <c r="BC25" i="19"/>
  <c r="BC26" i="19"/>
  <c r="BC27" i="19"/>
  <c r="BC28" i="19"/>
  <c r="BC29" i="19"/>
  <c r="BC30" i="19"/>
  <c r="BC31" i="19"/>
  <c r="BC32" i="19"/>
  <c r="BC33" i="19"/>
  <c r="BC34" i="19"/>
  <c r="BC35" i="19"/>
  <c r="BC36" i="19"/>
  <c r="BC37" i="19"/>
  <c r="BC38" i="19"/>
  <c r="BC39" i="19"/>
  <c r="BC40" i="19"/>
  <c r="BC41" i="19"/>
  <c r="BC42" i="19"/>
  <c r="BC43" i="19"/>
  <c r="BC44" i="19"/>
  <c r="BC45" i="19"/>
  <c r="BC46" i="19"/>
  <c r="BC47" i="19"/>
  <c r="BC48" i="19"/>
  <c r="BC49" i="19"/>
  <c r="BC50" i="19"/>
  <c r="BC51" i="19"/>
  <c r="BC52" i="19"/>
  <c r="BC53" i="19"/>
  <c r="BC54" i="19"/>
  <c r="BC55" i="19"/>
  <c r="BC56" i="19"/>
  <c r="BC57" i="19"/>
  <c r="BC58" i="19"/>
  <c r="BC59" i="19"/>
  <c r="BC60" i="19"/>
  <c r="BC61" i="19"/>
  <c r="BC62" i="19"/>
  <c r="BC63" i="19"/>
  <c r="BC64" i="19"/>
  <c r="BC65" i="19"/>
  <c r="BC66" i="19"/>
  <c r="BC67" i="19"/>
  <c r="BC68" i="19"/>
  <c r="BC69" i="19"/>
  <c r="BC70" i="19"/>
  <c r="BC71" i="19"/>
  <c r="BC72" i="19"/>
  <c r="BC73" i="19"/>
  <c r="BC74" i="19"/>
  <c r="BC75" i="19"/>
  <c r="BC76" i="19"/>
  <c r="BC77" i="19"/>
  <c r="BC78" i="19"/>
  <c r="BC79" i="19"/>
  <c r="BC80" i="19"/>
  <c r="BC81" i="19"/>
  <c r="BC82" i="19"/>
  <c r="BC83" i="19"/>
  <c r="BC84" i="19"/>
  <c r="BC85" i="19"/>
  <c r="BC86" i="19"/>
  <c r="BC87" i="19"/>
  <c r="BC88" i="19"/>
  <c r="BC89" i="19"/>
  <c r="BC90" i="19"/>
  <c r="BC91" i="19"/>
  <c r="BC92" i="19"/>
  <c r="BC93" i="19"/>
  <c r="BC94" i="19"/>
  <c r="BC95" i="19"/>
  <c r="BC96" i="19"/>
  <c r="BC97" i="19"/>
  <c r="BC98" i="19"/>
  <c r="BC99" i="19"/>
  <c r="BC100" i="19"/>
  <c r="BC101" i="19"/>
  <c r="BC102" i="19"/>
  <c r="BC103" i="19"/>
  <c r="BC104" i="19"/>
  <c r="BC105" i="19"/>
  <c r="BC106" i="19"/>
  <c r="BC107" i="19"/>
  <c r="BC108" i="19"/>
  <c r="BC109" i="19"/>
  <c r="BC110" i="19"/>
  <c r="BC111" i="19"/>
  <c r="BC112" i="19"/>
  <c r="BC113" i="19"/>
  <c r="BC114" i="19"/>
  <c r="BC115" i="19"/>
  <c r="BC116" i="19"/>
  <c r="BC117" i="19"/>
  <c r="BC118" i="19"/>
  <c r="BC119" i="19"/>
  <c r="BC120" i="19"/>
  <c r="BC121" i="19"/>
  <c r="BC122" i="19"/>
  <c r="BC123" i="19"/>
  <c r="BC124" i="19"/>
  <c r="BC125" i="19"/>
  <c r="BC126" i="19"/>
  <c r="BC127" i="19"/>
  <c r="BC128" i="19"/>
  <c r="BC129" i="19"/>
  <c r="BC130" i="19"/>
  <c r="BC131" i="19"/>
  <c r="BC132" i="19"/>
  <c r="BC133" i="19"/>
  <c r="BC134" i="19"/>
  <c r="BC135" i="19"/>
  <c r="BC136" i="19"/>
  <c r="BC137" i="19"/>
  <c r="BC138" i="19"/>
  <c r="BC139" i="19"/>
  <c r="BC140" i="19"/>
  <c r="BC141" i="19"/>
  <c r="BC142" i="19"/>
  <c r="BC143" i="19"/>
  <c r="BC144" i="19"/>
  <c r="BC145" i="19"/>
  <c r="BC146" i="19"/>
  <c r="BC147" i="19"/>
  <c r="BC148" i="19"/>
  <c r="BC149" i="19"/>
  <c r="BC150" i="19"/>
  <c r="BC151" i="19"/>
  <c r="BC152" i="19"/>
  <c r="BC153" i="19"/>
  <c r="BC154" i="19"/>
  <c r="BC155" i="19"/>
  <c r="BC156" i="19"/>
  <c r="BC157" i="19"/>
  <c r="BC158" i="19"/>
  <c r="BC159" i="19"/>
  <c r="BC160" i="19"/>
  <c r="BC161" i="19"/>
  <c r="BC162" i="19"/>
  <c r="BC163" i="19"/>
  <c r="BC164" i="19"/>
  <c r="BC165" i="19"/>
  <c r="BC166" i="19"/>
  <c r="BC167" i="19"/>
  <c r="BC168" i="19"/>
  <c r="BC169" i="19"/>
  <c r="BC170" i="19"/>
  <c r="BC171" i="19"/>
  <c r="BC172" i="19"/>
  <c r="BC173" i="19"/>
  <c r="BC174" i="19"/>
  <c r="BC175" i="19"/>
  <c r="BC176" i="19"/>
  <c r="BC177" i="19"/>
  <c r="BC178" i="19"/>
  <c r="BC179" i="19"/>
  <c r="BC180" i="19"/>
  <c r="BC181" i="19"/>
  <c r="BC182" i="19"/>
  <c r="BC183" i="19"/>
  <c r="BC184" i="19"/>
  <c r="BC185" i="19"/>
  <c r="BC186" i="19"/>
  <c r="BC187" i="19"/>
  <c r="BC188" i="19"/>
  <c r="BC189" i="19"/>
  <c r="BC190" i="19"/>
  <c r="BC191" i="19"/>
  <c r="BC192" i="19"/>
  <c r="BC193" i="19"/>
  <c r="BC194" i="19"/>
  <c r="BC195" i="19"/>
  <c r="BC196" i="19"/>
  <c r="BC197" i="19"/>
  <c r="BC198" i="19"/>
  <c r="BC199" i="19"/>
  <c r="BC200" i="19"/>
  <c r="BC201" i="19"/>
  <c r="AY4" i="19"/>
  <c r="AY5" i="19"/>
  <c r="AY6" i="19"/>
  <c r="AY7" i="19"/>
  <c r="AY8" i="19"/>
  <c r="AY9" i="19"/>
  <c r="AY10" i="19"/>
  <c r="AY11" i="19"/>
  <c r="AY12" i="19"/>
  <c r="AY13" i="19"/>
  <c r="AY14" i="19"/>
  <c r="AY15" i="19"/>
  <c r="AY16" i="19"/>
  <c r="AY17" i="19"/>
  <c r="AY18" i="19"/>
  <c r="AY19" i="19"/>
  <c r="AY20" i="19"/>
  <c r="AY21" i="19"/>
  <c r="AY22" i="19"/>
  <c r="AY23" i="19"/>
  <c r="AY24" i="19"/>
  <c r="AY25" i="19"/>
  <c r="AY26" i="19"/>
  <c r="AY27" i="19"/>
  <c r="AY28" i="19"/>
  <c r="AY29" i="19"/>
  <c r="AY30" i="19"/>
  <c r="AY31" i="19"/>
  <c r="AY32" i="19"/>
  <c r="AY33" i="19"/>
  <c r="AY34" i="19"/>
  <c r="AY35" i="19"/>
  <c r="AY36" i="19"/>
  <c r="AY37" i="19"/>
  <c r="AY38" i="19"/>
  <c r="AY39" i="19"/>
  <c r="AY40" i="19"/>
  <c r="AY41" i="19"/>
  <c r="AY42" i="19"/>
  <c r="AY43" i="19"/>
  <c r="AY44" i="19"/>
  <c r="AY45" i="19"/>
  <c r="AY46" i="19"/>
  <c r="AY47" i="19"/>
  <c r="AY48" i="19"/>
  <c r="AY49" i="19"/>
  <c r="AY50" i="19"/>
  <c r="AY51" i="19"/>
  <c r="AY52" i="19"/>
  <c r="AY53" i="19"/>
  <c r="AY54" i="19"/>
  <c r="AY55" i="19"/>
  <c r="AY56" i="19"/>
  <c r="AY57" i="19"/>
  <c r="AY58" i="19"/>
  <c r="AY59" i="19"/>
  <c r="AY60" i="19"/>
  <c r="AY61" i="19"/>
  <c r="AY62" i="19"/>
  <c r="AY63" i="19"/>
  <c r="AY64" i="19"/>
  <c r="AY65" i="19"/>
  <c r="AY66" i="19"/>
  <c r="AY67" i="19"/>
  <c r="AY68" i="19"/>
  <c r="AY69" i="19"/>
  <c r="AY70" i="19"/>
  <c r="AY71" i="19"/>
  <c r="AY72" i="19"/>
  <c r="AY73" i="19"/>
  <c r="AY74" i="19"/>
  <c r="AY75" i="19"/>
  <c r="AY76" i="19"/>
  <c r="AY77" i="19"/>
  <c r="AY78" i="19"/>
  <c r="AY79" i="19"/>
  <c r="AY80" i="19"/>
  <c r="AY81" i="19"/>
  <c r="AY82" i="19"/>
  <c r="AY83" i="19"/>
  <c r="AY84" i="19"/>
  <c r="AY85" i="19"/>
  <c r="AY86" i="19"/>
  <c r="AY87" i="19"/>
  <c r="AY88" i="19"/>
  <c r="AY89" i="19"/>
  <c r="AY90" i="19"/>
  <c r="AY91" i="19"/>
  <c r="AY92" i="19"/>
  <c r="AY93" i="19"/>
  <c r="AY94" i="19"/>
  <c r="AY95" i="19"/>
  <c r="AY96" i="19"/>
  <c r="AY97" i="19"/>
  <c r="AY98" i="19"/>
  <c r="AY99" i="19"/>
  <c r="AY100" i="19"/>
  <c r="AY101" i="19"/>
  <c r="AY102" i="19"/>
  <c r="AY103" i="19"/>
  <c r="AY104" i="19"/>
  <c r="AY105" i="19"/>
  <c r="AY106" i="19"/>
  <c r="AY107" i="19"/>
  <c r="AY108" i="19"/>
  <c r="AY109" i="19"/>
  <c r="AY110" i="19"/>
  <c r="AY111" i="19"/>
  <c r="AY112" i="19"/>
  <c r="AY113" i="19"/>
  <c r="AY114" i="19"/>
  <c r="AY115" i="19"/>
  <c r="AY116" i="19"/>
  <c r="AY117" i="19"/>
  <c r="AY118" i="19"/>
  <c r="AY119" i="19"/>
  <c r="AY120" i="19"/>
  <c r="AY121" i="19"/>
  <c r="AY122" i="19"/>
  <c r="AY123" i="19"/>
  <c r="AY124" i="19"/>
  <c r="AY125" i="19"/>
  <c r="AY126" i="19"/>
  <c r="AY127" i="19"/>
  <c r="AY128" i="19"/>
  <c r="AY129" i="19"/>
  <c r="AY130" i="19"/>
  <c r="AY131" i="19"/>
  <c r="AY132" i="19"/>
  <c r="AY133" i="19"/>
  <c r="AY134" i="19"/>
  <c r="AY135" i="19"/>
  <c r="AY136" i="19"/>
  <c r="AY137" i="19"/>
  <c r="AY138" i="19"/>
  <c r="AY139" i="19"/>
  <c r="AY140" i="19"/>
  <c r="AY141" i="19"/>
  <c r="AY142" i="19"/>
  <c r="AY143" i="19"/>
  <c r="AY144" i="19"/>
  <c r="AY145" i="19"/>
  <c r="AY146" i="19"/>
  <c r="AY147" i="19"/>
  <c r="AY148" i="19"/>
  <c r="AY149" i="19"/>
  <c r="AY150" i="19"/>
  <c r="AY151" i="19"/>
  <c r="AY152" i="19"/>
  <c r="AY153" i="19"/>
  <c r="AY154" i="19"/>
  <c r="AY155" i="19"/>
  <c r="AY156" i="19"/>
  <c r="AY157" i="19"/>
  <c r="AY158" i="19"/>
  <c r="AY159" i="19"/>
  <c r="AY160" i="19"/>
  <c r="AY161" i="19"/>
  <c r="AY162" i="19"/>
  <c r="AY163" i="19"/>
  <c r="AY164" i="19"/>
  <c r="AY165" i="19"/>
  <c r="AY166" i="19"/>
  <c r="AY167" i="19"/>
  <c r="AY168" i="19"/>
  <c r="AY169" i="19"/>
  <c r="AY170" i="19"/>
  <c r="AY171" i="19"/>
  <c r="AY172" i="19"/>
  <c r="AY173" i="19"/>
  <c r="AY174" i="19"/>
  <c r="AY175" i="19"/>
  <c r="AY176" i="19"/>
  <c r="AY177" i="19"/>
  <c r="AY178" i="19"/>
  <c r="AY179" i="19"/>
  <c r="AY180" i="19"/>
  <c r="AY181" i="19"/>
  <c r="AY182" i="19"/>
  <c r="AY183" i="19"/>
  <c r="AY184" i="19"/>
  <c r="AY185" i="19"/>
  <c r="AY186" i="19"/>
  <c r="AY187" i="19"/>
  <c r="AY188" i="19"/>
  <c r="AY189" i="19"/>
  <c r="AY190" i="19"/>
  <c r="AY191" i="19"/>
  <c r="AY192" i="19"/>
  <c r="AY193" i="19"/>
  <c r="AY194" i="19"/>
  <c r="AY195" i="19"/>
  <c r="AY196" i="19"/>
  <c r="AY197" i="19"/>
  <c r="AY198" i="19"/>
  <c r="AY199" i="19"/>
  <c r="AY200" i="19"/>
  <c r="AY201" i="19"/>
  <c r="AP4" i="19"/>
  <c r="AP5" i="19"/>
  <c r="AP6" i="19"/>
  <c r="AP7" i="19"/>
  <c r="AP8" i="19"/>
  <c r="AP9" i="19"/>
  <c r="AP10" i="19"/>
  <c r="AP11" i="19"/>
  <c r="AP12" i="19"/>
  <c r="AP13" i="19"/>
  <c r="AP14" i="19"/>
  <c r="AP15" i="19"/>
  <c r="AP16" i="19"/>
  <c r="AP17" i="19"/>
  <c r="AP18" i="19"/>
  <c r="AP19" i="19"/>
  <c r="AP20" i="19"/>
  <c r="AP21" i="19"/>
  <c r="AP22" i="19"/>
  <c r="AP23" i="19"/>
  <c r="AP24" i="19"/>
  <c r="AP25" i="19"/>
  <c r="AP26" i="19"/>
  <c r="AP27" i="19"/>
  <c r="AP28" i="19"/>
  <c r="AP29" i="19"/>
  <c r="AP30" i="19"/>
  <c r="AP31" i="19"/>
  <c r="AP32" i="19"/>
  <c r="AP33" i="19"/>
  <c r="AP34" i="19"/>
  <c r="AP35" i="19"/>
  <c r="AP36" i="19"/>
  <c r="AP37" i="19"/>
  <c r="AP38" i="19"/>
  <c r="AP39" i="19"/>
  <c r="AP40" i="19"/>
  <c r="AP41" i="19"/>
  <c r="AP42" i="19"/>
  <c r="AP43" i="19"/>
  <c r="AP44" i="19"/>
  <c r="AP45" i="19"/>
  <c r="AP46" i="19"/>
  <c r="AP47" i="19"/>
  <c r="AP48" i="19"/>
  <c r="AP49" i="19"/>
  <c r="AP50" i="19"/>
  <c r="AP51" i="19"/>
  <c r="AP52" i="19"/>
  <c r="AP53" i="19"/>
  <c r="AP54" i="19"/>
  <c r="AP55" i="19"/>
  <c r="AP56" i="19"/>
  <c r="AP57" i="19"/>
  <c r="AP58" i="19"/>
  <c r="AP59" i="19"/>
  <c r="AP60" i="19"/>
  <c r="AP61" i="19"/>
  <c r="AP62" i="19"/>
  <c r="AP63" i="19"/>
  <c r="AP64" i="19"/>
  <c r="AP65" i="19"/>
  <c r="AP66" i="19"/>
  <c r="AP67" i="19"/>
  <c r="AP68" i="19"/>
  <c r="AP69" i="19"/>
  <c r="AP70" i="19"/>
  <c r="AP71" i="19"/>
  <c r="AP72" i="19"/>
  <c r="AP73" i="19"/>
  <c r="AP74" i="19"/>
  <c r="AP75" i="19"/>
  <c r="AP76" i="19"/>
  <c r="AP77" i="19"/>
  <c r="AP78" i="19"/>
  <c r="AP79" i="19"/>
  <c r="AP80" i="19"/>
  <c r="AP81" i="19"/>
  <c r="AP82" i="19"/>
  <c r="AP83" i="19"/>
  <c r="AP84" i="19"/>
  <c r="AP85" i="19"/>
  <c r="AP86" i="19"/>
  <c r="AP87" i="19"/>
  <c r="AP88" i="19"/>
  <c r="AP89" i="19"/>
  <c r="AP90" i="19"/>
  <c r="AP91" i="19"/>
  <c r="AP92" i="19"/>
  <c r="AP93" i="19"/>
  <c r="AP94" i="19"/>
  <c r="AP95" i="19"/>
  <c r="AP96" i="19"/>
  <c r="AP97" i="19"/>
  <c r="AP98" i="19"/>
  <c r="AP99" i="19"/>
  <c r="AP100" i="19"/>
  <c r="AP101" i="19"/>
  <c r="AP102" i="19"/>
  <c r="AP103" i="19"/>
  <c r="AP104" i="19"/>
  <c r="AP105" i="19"/>
  <c r="AP106" i="19"/>
  <c r="AP107" i="19"/>
  <c r="AP108" i="19"/>
  <c r="AP109" i="19"/>
  <c r="AP110" i="19"/>
  <c r="AP111" i="19"/>
  <c r="AP112" i="19"/>
  <c r="AP113" i="19"/>
  <c r="AP114" i="19"/>
  <c r="AP115" i="19"/>
  <c r="AP116" i="19"/>
  <c r="AP117" i="19"/>
  <c r="AP118" i="19"/>
  <c r="AP119" i="19"/>
  <c r="AP120" i="19"/>
  <c r="AP121" i="19"/>
  <c r="AP122" i="19"/>
  <c r="AP123" i="19"/>
  <c r="AP124" i="19"/>
  <c r="AP125" i="19"/>
  <c r="AP126" i="19"/>
  <c r="AP127" i="19"/>
  <c r="AP128" i="19"/>
  <c r="AP129" i="19"/>
  <c r="AP130" i="19"/>
  <c r="AP131" i="19"/>
  <c r="AP132" i="19"/>
  <c r="AP133" i="19"/>
  <c r="AP134" i="19"/>
  <c r="AP135" i="19"/>
  <c r="AP136" i="19"/>
  <c r="AP137" i="19"/>
  <c r="AP138" i="19"/>
  <c r="AP139" i="19"/>
  <c r="AP140" i="19"/>
  <c r="AP141" i="19"/>
  <c r="AP142" i="19"/>
  <c r="AP143" i="19"/>
  <c r="AP144" i="19"/>
  <c r="AP145" i="19"/>
  <c r="AP146" i="19"/>
  <c r="AP147" i="19"/>
  <c r="AP148" i="19"/>
  <c r="AP149" i="19"/>
  <c r="AP150" i="19"/>
  <c r="AP151" i="19"/>
  <c r="AP152" i="19"/>
  <c r="AP153" i="19"/>
  <c r="AP154" i="19"/>
  <c r="AP155" i="19"/>
  <c r="AP156" i="19"/>
  <c r="AP157" i="19"/>
  <c r="AP158" i="19"/>
  <c r="AP159" i="19"/>
  <c r="AP160" i="19"/>
  <c r="AP161" i="19"/>
  <c r="AP162" i="19"/>
  <c r="AP163" i="19"/>
  <c r="AP164" i="19"/>
  <c r="AP165" i="19"/>
  <c r="AP166" i="19"/>
  <c r="AP167" i="19"/>
  <c r="AP168" i="19"/>
  <c r="AP169" i="19"/>
  <c r="AP170" i="19"/>
  <c r="AP171" i="19"/>
  <c r="AP172" i="19"/>
  <c r="AP173" i="19"/>
  <c r="AP174" i="19"/>
  <c r="AP175" i="19"/>
  <c r="AP176" i="19"/>
  <c r="AP177" i="19"/>
  <c r="AP178" i="19"/>
  <c r="AP179" i="19"/>
  <c r="AP180" i="19"/>
  <c r="AP181" i="19"/>
  <c r="AP182" i="19"/>
  <c r="AP183" i="19"/>
  <c r="AP184" i="19"/>
  <c r="AP185" i="19"/>
  <c r="AP186" i="19"/>
  <c r="AP187" i="19"/>
  <c r="AP188" i="19"/>
  <c r="AP189" i="19"/>
  <c r="AP190" i="19"/>
  <c r="AP191" i="19"/>
  <c r="AP192" i="19"/>
  <c r="AP193" i="19"/>
  <c r="AP194" i="19"/>
  <c r="AP195" i="19"/>
  <c r="AP196" i="19"/>
  <c r="AP197" i="19"/>
  <c r="AP198" i="19"/>
  <c r="AP199" i="19"/>
  <c r="AP200" i="19"/>
  <c r="AP201" i="19"/>
  <c r="AL4" i="19"/>
  <c r="AL5" i="19"/>
  <c r="AL6" i="19"/>
  <c r="AL7" i="19"/>
  <c r="AL8" i="19"/>
  <c r="AL9" i="19"/>
  <c r="AL10" i="19"/>
  <c r="AL11" i="19"/>
  <c r="AL12" i="19"/>
  <c r="AL13" i="19"/>
  <c r="AL14" i="19"/>
  <c r="AL15" i="19"/>
  <c r="AL16" i="19"/>
  <c r="AL17" i="19"/>
  <c r="AL18" i="19"/>
  <c r="AL19" i="19"/>
  <c r="AL20" i="19"/>
  <c r="AL21" i="19"/>
  <c r="AL22" i="19"/>
  <c r="AL23" i="19"/>
  <c r="AL24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38" i="19"/>
  <c r="AL39" i="19"/>
  <c r="AL40" i="19"/>
  <c r="AL41" i="19"/>
  <c r="AL42" i="19"/>
  <c r="AL43" i="19"/>
  <c r="AL44" i="19"/>
  <c r="AL45" i="19"/>
  <c r="AL46" i="19"/>
  <c r="AL47" i="19"/>
  <c r="AL48" i="19"/>
  <c r="AL49" i="19"/>
  <c r="AL50" i="19"/>
  <c r="AL51" i="19"/>
  <c r="AL52" i="19"/>
  <c r="AL53" i="19"/>
  <c r="AL54" i="19"/>
  <c r="AL55" i="19"/>
  <c r="AL56" i="19"/>
  <c r="AL57" i="19"/>
  <c r="AL58" i="19"/>
  <c r="AL59" i="19"/>
  <c r="AL60" i="19"/>
  <c r="AL61" i="19"/>
  <c r="AL62" i="19"/>
  <c r="AL63" i="19"/>
  <c r="AL64" i="19"/>
  <c r="AL65" i="19"/>
  <c r="AL66" i="19"/>
  <c r="AL67" i="19"/>
  <c r="AL68" i="19"/>
  <c r="AL69" i="19"/>
  <c r="AL70" i="19"/>
  <c r="AL71" i="19"/>
  <c r="AL72" i="19"/>
  <c r="AL73" i="19"/>
  <c r="AL74" i="19"/>
  <c r="AL75" i="19"/>
  <c r="AL76" i="19"/>
  <c r="AL77" i="19"/>
  <c r="AL78" i="19"/>
  <c r="AL79" i="19"/>
  <c r="AL80" i="19"/>
  <c r="AL81" i="19"/>
  <c r="AL82" i="19"/>
  <c r="AL83" i="19"/>
  <c r="AL84" i="19"/>
  <c r="AL85" i="19"/>
  <c r="AL86" i="19"/>
  <c r="AL87" i="19"/>
  <c r="AL88" i="19"/>
  <c r="AL89" i="19"/>
  <c r="AL90" i="19"/>
  <c r="AL91" i="19"/>
  <c r="AL92" i="19"/>
  <c r="AL93" i="19"/>
  <c r="AL94" i="19"/>
  <c r="AL95" i="19"/>
  <c r="AL96" i="19"/>
  <c r="AL97" i="19"/>
  <c r="AL98" i="19"/>
  <c r="AL99" i="19"/>
  <c r="AL100" i="19"/>
  <c r="AL101" i="19"/>
  <c r="AL102" i="19"/>
  <c r="AL103" i="19"/>
  <c r="AL104" i="19"/>
  <c r="AL105" i="19"/>
  <c r="AL106" i="19"/>
  <c r="AL107" i="19"/>
  <c r="AL108" i="19"/>
  <c r="AL109" i="19"/>
  <c r="AL110" i="19"/>
  <c r="AL111" i="19"/>
  <c r="AL112" i="19"/>
  <c r="AL113" i="19"/>
  <c r="AL114" i="19"/>
  <c r="AL115" i="19"/>
  <c r="AL116" i="19"/>
  <c r="AL117" i="19"/>
  <c r="AL118" i="19"/>
  <c r="AL119" i="19"/>
  <c r="AL120" i="19"/>
  <c r="AL121" i="19"/>
  <c r="AL122" i="19"/>
  <c r="AL123" i="19"/>
  <c r="AL124" i="19"/>
  <c r="AL125" i="19"/>
  <c r="AL126" i="19"/>
  <c r="AL127" i="19"/>
  <c r="AL128" i="19"/>
  <c r="AL129" i="19"/>
  <c r="AL130" i="19"/>
  <c r="AL131" i="19"/>
  <c r="AL132" i="19"/>
  <c r="AL133" i="19"/>
  <c r="AL134" i="19"/>
  <c r="AL135" i="19"/>
  <c r="AL136" i="19"/>
  <c r="AL137" i="19"/>
  <c r="AL138" i="19"/>
  <c r="AL139" i="19"/>
  <c r="AL140" i="19"/>
  <c r="AL141" i="19"/>
  <c r="AL142" i="19"/>
  <c r="AL143" i="19"/>
  <c r="AL144" i="19"/>
  <c r="AL145" i="19"/>
  <c r="AL146" i="19"/>
  <c r="AL147" i="19"/>
  <c r="AL148" i="19"/>
  <c r="AL149" i="19"/>
  <c r="AL150" i="19"/>
  <c r="AL151" i="19"/>
  <c r="AL152" i="19"/>
  <c r="AL153" i="19"/>
  <c r="AL154" i="19"/>
  <c r="AL155" i="19"/>
  <c r="AL156" i="19"/>
  <c r="AL157" i="19"/>
  <c r="AL158" i="19"/>
  <c r="AL159" i="19"/>
  <c r="AL160" i="19"/>
  <c r="AL161" i="19"/>
  <c r="AL162" i="19"/>
  <c r="AL163" i="19"/>
  <c r="AL164" i="19"/>
  <c r="AL165" i="19"/>
  <c r="AL166" i="19"/>
  <c r="AL167" i="19"/>
  <c r="AL168" i="19"/>
  <c r="AL169" i="19"/>
  <c r="AL170" i="19"/>
  <c r="AL171" i="19"/>
  <c r="AL172" i="19"/>
  <c r="AL173" i="19"/>
  <c r="AL174" i="19"/>
  <c r="AL175" i="19"/>
  <c r="AL176" i="19"/>
  <c r="AL177" i="19"/>
  <c r="AL178" i="19"/>
  <c r="AL179" i="19"/>
  <c r="AL180" i="19"/>
  <c r="AL181" i="19"/>
  <c r="AL182" i="19"/>
  <c r="AL183" i="19"/>
  <c r="AL184" i="19"/>
  <c r="AL185" i="19"/>
  <c r="AL186" i="19"/>
  <c r="AL187" i="19"/>
  <c r="AL188" i="19"/>
  <c r="AL189" i="19"/>
  <c r="AL190" i="19"/>
  <c r="AL191" i="19"/>
  <c r="AL192" i="19"/>
  <c r="AL193" i="19"/>
  <c r="AL194" i="19"/>
  <c r="AL195" i="19"/>
  <c r="AL196" i="19"/>
  <c r="AL197" i="19"/>
  <c r="AL198" i="19"/>
  <c r="AL199" i="19"/>
  <c r="AL200" i="19"/>
  <c r="AL201" i="19"/>
  <c r="AH4" i="19"/>
  <c r="AH5" i="19"/>
  <c r="AH6" i="19"/>
  <c r="AH7" i="19"/>
  <c r="AH8" i="19"/>
  <c r="AH9" i="19"/>
  <c r="AH10" i="19"/>
  <c r="AH11" i="19"/>
  <c r="AH12" i="19"/>
  <c r="AH13" i="19"/>
  <c r="AH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43" i="19"/>
  <c r="AH44" i="19"/>
  <c r="AH45" i="19"/>
  <c r="AH46" i="19"/>
  <c r="AH47" i="19"/>
  <c r="AH48" i="19"/>
  <c r="AH49" i="19"/>
  <c r="AH50" i="19"/>
  <c r="AH51" i="19"/>
  <c r="AH52" i="19"/>
  <c r="AH53" i="19"/>
  <c r="AH54" i="19"/>
  <c r="AH55" i="19"/>
  <c r="AH56" i="19"/>
  <c r="AH57" i="19"/>
  <c r="AH58" i="19"/>
  <c r="AH59" i="19"/>
  <c r="AH60" i="19"/>
  <c r="AH61" i="19"/>
  <c r="AH62" i="19"/>
  <c r="AH63" i="19"/>
  <c r="AH64" i="19"/>
  <c r="AH65" i="19"/>
  <c r="AH66" i="19"/>
  <c r="AH67" i="19"/>
  <c r="AH68" i="19"/>
  <c r="AH69" i="19"/>
  <c r="AH70" i="19"/>
  <c r="AH71" i="19"/>
  <c r="AH72" i="19"/>
  <c r="AH73" i="19"/>
  <c r="AH74" i="19"/>
  <c r="AH75" i="19"/>
  <c r="AH76" i="19"/>
  <c r="AH77" i="19"/>
  <c r="AH78" i="19"/>
  <c r="AH79" i="19"/>
  <c r="AH80" i="19"/>
  <c r="AH81" i="19"/>
  <c r="AH82" i="19"/>
  <c r="AH83" i="19"/>
  <c r="AH84" i="19"/>
  <c r="AH85" i="19"/>
  <c r="AH86" i="19"/>
  <c r="AH87" i="19"/>
  <c r="AH88" i="19"/>
  <c r="AH89" i="19"/>
  <c r="AH90" i="19"/>
  <c r="AH91" i="19"/>
  <c r="AH92" i="19"/>
  <c r="AH93" i="19"/>
  <c r="AH94" i="19"/>
  <c r="AH95" i="19"/>
  <c r="AH96" i="19"/>
  <c r="AH97" i="19"/>
  <c r="AH98" i="19"/>
  <c r="AH99" i="19"/>
  <c r="AH100" i="19"/>
  <c r="AH101" i="19"/>
  <c r="AH102" i="19"/>
  <c r="AH103" i="19"/>
  <c r="AH104" i="19"/>
  <c r="AH105" i="19"/>
  <c r="AH106" i="19"/>
  <c r="AH107" i="19"/>
  <c r="AH108" i="19"/>
  <c r="AH109" i="19"/>
  <c r="AH110" i="19"/>
  <c r="AH111" i="19"/>
  <c r="AH112" i="19"/>
  <c r="AH113" i="19"/>
  <c r="AH114" i="19"/>
  <c r="AH115" i="19"/>
  <c r="AH116" i="19"/>
  <c r="AH117" i="19"/>
  <c r="AH118" i="19"/>
  <c r="AH119" i="19"/>
  <c r="AH120" i="19"/>
  <c r="AH121" i="19"/>
  <c r="AH122" i="19"/>
  <c r="AH123" i="19"/>
  <c r="AH124" i="19"/>
  <c r="AH125" i="19"/>
  <c r="AH126" i="19"/>
  <c r="AH127" i="19"/>
  <c r="AH128" i="19"/>
  <c r="AH129" i="19"/>
  <c r="AH130" i="19"/>
  <c r="AH131" i="19"/>
  <c r="AH132" i="19"/>
  <c r="AH133" i="19"/>
  <c r="AH134" i="19"/>
  <c r="AH135" i="19"/>
  <c r="AH136" i="19"/>
  <c r="AH137" i="19"/>
  <c r="AH138" i="19"/>
  <c r="AH139" i="19"/>
  <c r="AH140" i="19"/>
  <c r="AH141" i="19"/>
  <c r="AH142" i="19"/>
  <c r="AH143" i="19"/>
  <c r="AH144" i="19"/>
  <c r="AH145" i="19"/>
  <c r="AH146" i="19"/>
  <c r="AH147" i="19"/>
  <c r="AH148" i="19"/>
  <c r="AH149" i="19"/>
  <c r="AH150" i="19"/>
  <c r="AH151" i="19"/>
  <c r="AH152" i="19"/>
  <c r="AH153" i="19"/>
  <c r="AH154" i="19"/>
  <c r="AH155" i="19"/>
  <c r="AH156" i="19"/>
  <c r="AH157" i="19"/>
  <c r="AH158" i="19"/>
  <c r="AH159" i="19"/>
  <c r="AH160" i="19"/>
  <c r="AH161" i="19"/>
  <c r="AH162" i="19"/>
  <c r="AH163" i="19"/>
  <c r="AH164" i="19"/>
  <c r="AH165" i="19"/>
  <c r="AH166" i="19"/>
  <c r="AH167" i="19"/>
  <c r="AH168" i="19"/>
  <c r="AH169" i="19"/>
  <c r="AH170" i="19"/>
  <c r="AH171" i="19"/>
  <c r="AH172" i="19"/>
  <c r="AH173" i="19"/>
  <c r="AH174" i="19"/>
  <c r="AH175" i="19"/>
  <c r="AH176" i="19"/>
  <c r="AH177" i="19"/>
  <c r="AH178" i="19"/>
  <c r="AH179" i="19"/>
  <c r="AH180" i="19"/>
  <c r="AH181" i="19"/>
  <c r="AH182" i="19"/>
  <c r="AH183" i="19"/>
  <c r="AH184" i="19"/>
  <c r="AH185" i="19"/>
  <c r="AH186" i="19"/>
  <c r="AH187" i="19"/>
  <c r="AH188" i="19"/>
  <c r="AH189" i="19"/>
  <c r="AH190" i="19"/>
  <c r="AH191" i="19"/>
  <c r="AH192" i="19"/>
  <c r="AH193" i="19"/>
  <c r="AH194" i="19"/>
  <c r="AH195" i="19"/>
  <c r="AH196" i="19"/>
  <c r="AH197" i="19"/>
  <c r="AH198" i="19"/>
  <c r="AH199" i="19"/>
  <c r="AH200" i="19"/>
  <c r="AH201" i="19"/>
  <c r="Y4" i="19"/>
  <c r="Y5" i="19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75" i="19"/>
  <c r="Y76" i="19"/>
  <c r="Y77" i="19"/>
  <c r="Y78" i="19"/>
  <c r="Y79" i="19"/>
  <c r="Y80" i="19"/>
  <c r="Y81" i="19"/>
  <c r="Y82" i="19"/>
  <c r="Y83" i="19"/>
  <c r="Y84" i="19"/>
  <c r="Y85" i="19"/>
  <c r="Y86" i="19"/>
  <c r="Y87" i="19"/>
  <c r="Y88" i="19"/>
  <c r="Y89" i="19"/>
  <c r="Y90" i="19"/>
  <c r="Y91" i="19"/>
  <c r="Y92" i="19"/>
  <c r="Y93" i="19"/>
  <c r="Y94" i="19"/>
  <c r="Y95" i="19"/>
  <c r="Y96" i="19"/>
  <c r="Y97" i="19"/>
  <c r="Y98" i="19"/>
  <c r="Y99" i="19"/>
  <c r="Y100" i="19"/>
  <c r="Y101" i="19"/>
  <c r="Y102" i="19"/>
  <c r="Y103" i="19"/>
  <c r="Y104" i="19"/>
  <c r="Y105" i="19"/>
  <c r="Y106" i="19"/>
  <c r="Y107" i="19"/>
  <c r="Y108" i="19"/>
  <c r="Y109" i="19"/>
  <c r="Y110" i="19"/>
  <c r="Y111" i="19"/>
  <c r="Y112" i="19"/>
  <c r="Y113" i="19"/>
  <c r="Y114" i="19"/>
  <c r="Y115" i="19"/>
  <c r="Y116" i="19"/>
  <c r="Y117" i="19"/>
  <c r="Y118" i="19"/>
  <c r="Y119" i="19"/>
  <c r="Y120" i="19"/>
  <c r="Y121" i="19"/>
  <c r="Y122" i="19"/>
  <c r="Y123" i="19"/>
  <c r="Y124" i="19"/>
  <c r="Y125" i="19"/>
  <c r="Y126" i="19"/>
  <c r="Y127" i="19"/>
  <c r="Y128" i="19"/>
  <c r="Y129" i="19"/>
  <c r="Y130" i="19"/>
  <c r="Y131" i="19"/>
  <c r="Y132" i="19"/>
  <c r="Y133" i="19"/>
  <c r="Y134" i="19"/>
  <c r="Y135" i="19"/>
  <c r="Y136" i="19"/>
  <c r="Y137" i="19"/>
  <c r="Y138" i="19"/>
  <c r="Y139" i="19"/>
  <c r="Y140" i="19"/>
  <c r="Y141" i="19"/>
  <c r="Y142" i="19"/>
  <c r="Y143" i="19"/>
  <c r="Y144" i="19"/>
  <c r="Y145" i="19"/>
  <c r="Y146" i="19"/>
  <c r="Y147" i="19"/>
  <c r="Y148" i="19"/>
  <c r="Y149" i="19"/>
  <c r="Y150" i="19"/>
  <c r="Y151" i="19"/>
  <c r="Y152" i="19"/>
  <c r="Y153" i="19"/>
  <c r="Y154" i="19"/>
  <c r="Y155" i="19"/>
  <c r="Y156" i="19"/>
  <c r="Y157" i="19"/>
  <c r="Y158" i="19"/>
  <c r="Y159" i="19"/>
  <c r="Y160" i="19"/>
  <c r="Y161" i="19"/>
  <c r="Y162" i="19"/>
  <c r="Y163" i="19"/>
  <c r="Y164" i="19"/>
  <c r="Y165" i="19"/>
  <c r="Y166" i="19"/>
  <c r="Y167" i="19"/>
  <c r="Y168" i="19"/>
  <c r="Y169" i="19"/>
  <c r="Y170" i="19"/>
  <c r="Y171" i="19"/>
  <c r="Y172" i="19"/>
  <c r="Y173" i="19"/>
  <c r="Y174" i="19"/>
  <c r="Y175" i="19"/>
  <c r="Y176" i="19"/>
  <c r="Y177" i="19"/>
  <c r="Y178" i="19"/>
  <c r="Y179" i="19"/>
  <c r="Y180" i="19"/>
  <c r="Y181" i="19"/>
  <c r="Y182" i="19"/>
  <c r="Y183" i="19"/>
  <c r="Y184" i="19"/>
  <c r="Y185" i="19"/>
  <c r="Y186" i="19"/>
  <c r="Y187" i="19"/>
  <c r="Y188" i="19"/>
  <c r="Y189" i="19"/>
  <c r="Y190" i="19"/>
  <c r="Y191" i="19"/>
  <c r="Y192" i="19"/>
  <c r="Y193" i="19"/>
  <c r="Y194" i="19"/>
  <c r="Y195" i="19"/>
  <c r="Y196" i="19"/>
  <c r="Y197" i="19"/>
  <c r="Y198" i="19"/>
  <c r="Y199" i="19"/>
  <c r="Y200" i="19"/>
  <c r="Y201" i="19"/>
  <c r="U4" i="19"/>
  <c r="U5" i="19"/>
  <c r="U6" i="19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U70" i="19"/>
  <c r="U71" i="19"/>
  <c r="U72" i="19"/>
  <c r="U73" i="19"/>
  <c r="U74" i="19"/>
  <c r="U75" i="19"/>
  <c r="U76" i="19"/>
  <c r="U77" i="19"/>
  <c r="U78" i="19"/>
  <c r="U79" i="19"/>
  <c r="U80" i="19"/>
  <c r="U81" i="19"/>
  <c r="U82" i="19"/>
  <c r="U83" i="19"/>
  <c r="U84" i="19"/>
  <c r="U85" i="19"/>
  <c r="U86" i="19"/>
  <c r="U87" i="19"/>
  <c r="U88" i="19"/>
  <c r="U89" i="19"/>
  <c r="U90" i="19"/>
  <c r="U91" i="19"/>
  <c r="U92" i="19"/>
  <c r="U93" i="19"/>
  <c r="U94" i="19"/>
  <c r="U95" i="19"/>
  <c r="U96" i="19"/>
  <c r="U97" i="19"/>
  <c r="U98" i="19"/>
  <c r="U99" i="19"/>
  <c r="U100" i="19"/>
  <c r="U101" i="19"/>
  <c r="U102" i="19"/>
  <c r="U103" i="19"/>
  <c r="U104" i="19"/>
  <c r="U105" i="19"/>
  <c r="U106" i="19"/>
  <c r="U107" i="19"/>
  <c r="U108" i="19"/>
  <c r="U109" i="19"/>
  <c r="U110" i="19"/>
  <c r="U111" i="19"/>
  <c r="U112" i="19"/>
  <c r="U113" i="19"/>
  <c r="U114" i="19"/>
  <c r="U115" i="19"/>
  <c r="U116" i="19"/>
  <c r="U117" i="19"/>
  <c r="U118" i="19"/>
  <c r="U119" i="19"/>
  <c r="U120" i="19"/>
  <c r="U121" i="19"/>
  <c r="U122" i="19"/>
  <c r="U123" i="19"/>
  <c r="U124" i="19"/>
  <c r="U125" i="19"/>
  <c r="U126" i="19"/>
  <c r="U127" i="19"/>
  <c r="U128" i="19"/>
  <c r="U129" i="19"/>
  <c r="U130" i="19"/>
  <c r="U131" i="19"/>
  <c r="U132" i="19"/>
  <c r="U133" i="19"/>
  <c r="U134" i="19"/>
  <c r="U135" i="19"/>
  <c r="U136" i="19"/>
  <c r="U137" i="19"/>
  <c r="U138" i="19"/>
  <c r="U139" i="19"/>
  <c r="U140" i="19"/>
  <c r="U141" i="19"/>
  <c r="U142" i="19"/>
  <c r="U143" i="19"/>
  <c r="U144" i="19"/>
  <c r="U145" i="19"/>
  <c r="U146" i="19"/>
  <c r="U147" i="19"/>
  <c r="U148" i="19"/>
  <c r="U149" i="19"/>
  <c r="U150" i="19"/>
  <c r="U151" i="19"/>
  <c r="U152" i="19"/>
  <c r="U153" i="19"/>
  <c r="U154" i="19"/>
  <c r="U155" i="19"/>
  <c r="U156" i="19"/>
  <c r="U157" i="19"/>
  <c r="U158" i="19"/>
  <c r="U159" i="19"/>
  <c r="U160" i="19"/>
  <c r="U161" i="19"/>
  <c r="U162" i="19"/>
  <c r="U163" i="19"/>
  <c r="U164" i="19"/>
  <c r="U165" i="19"/>
  <c r="U166" i="19"/>
  <c r="U167" i="19"/>
  <c r="U168" i="19"/>
  <c r="U169" i="19"/>
  <c r="U170" i="19"/>
  <c r="U171" i="19"/>
  <c r="U172" i="19"/>
  <c r="U173" i="19"/>
  <c r="U174" i="19"/>
  <c r="U175" i="19"/>
  <c r="U176" i="19"/>
  <c r="U177" i="19"/>
  <c r="U178" i="19"/>
  <c r="U179" i="19"/>
  <c r="U180" i="19"/>
  <c r="U181" i="19"/>
  <c r="U182" i="19"/>
  <c r="U183" i="19"/>
  <c r="U184" i="19"/>
  <c r="U185" i="19"/>
  <c r="U186" i="19"/>
  <c r="U187" i="19"/>
  <c r="U188" i="19"/>
  <c r="U189" i="19"/>
  <c r="U190" i="19"/>
  <c r="U191" i="19"/>
  <c r="U192" i="19"/>
  <c r="U193" i="19"/>
  <c r="U194" i="19"/>
  <c r="U195" i="19"/>
  <c r="U196" i="19"/>
  <c r="U197" i="19"/>
  <c r="U198" i="19"/>
  <c r="U199" i="19"/>
  <c r="U200" i="19"/>
  <c r="U201" i="19"/>
  <c r="Q4" i="19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7" i="19"/>
  <c r="Q38" i="19"/>
  <c r="Q39" i="19"/>
  <c r="Q40" i="19"/>
  <c r="Q41" i="19"/>
  <c r="Q42" i="19"/>
  <c r="Q43" i="19"/>
  <c r="Q44" i="19"/>
  <c r="Q45" i="19"/>
  <c r="Q46" i="19"/>
  <c r="Q47" i="19"/>
  <c r="Q48" i="19"/>
  <c r="Q49" i="19"/>
  <c r="Q50" i="19"/>
  <c r="Q51" i="19"/>
  <c r="Q52" i="19"/>
  <c r="Q53" i="19"/>
  <c r="Q54" i="19"/>
  <c r="Q55" i="19"/>
  <c r="Q56" i="19"/>
  <c r="Q57" i="19"/>
  <c r="Q58" i="19"/>
  <c r="Q59" i="19"/>
  <c r="Q60" i="19"/>
  <c r="Q61" i="19"/>
  <c r="Q62" i="19"/>
  <c r="Q63" i="19"/>
  <c r="Q64" i="19"/>
  <c r="Q65" i="19"/>
  <c r="Q66" i="19"/>
  <c r="Q67" i="19"/>
  <c r="Q68" i="19"/>
  <c r="Q69" i="19"/>
  <c r="Q70" i="19"/>
  <c r="Q71" i="19"/>
  <c r="Q72" i="19"/>
  <c r="Q73" i="19"/>
  <c r="Q74" i="19"/>
  <c r="Q75" i="19"/>
  <c r="Q76" i="19"/>
  <c r="Q77" i="19"/>
  <c r="Q78" i="19"/>
  <c r="Q79" i="19"/>
  <c r="Q80" i="19"/>
  <c r="Q81" i="19"/>
  <c r="Q82" i="19"/>
  <c r="Q83" i="19"/>
  <c r="Q84" i="19"/>
  <c r="Q85" i="19"/>
  <c r="Q86" i="19"/>
  <c r="Q87" i="19"/>
  <c r="Q88" i="19"/>
  <c r="Q89" i="19"/>
  <c r="Q90" i="19"/>
  <c r="Q91" i="19"/>
  <c r="Q92" i="19"/>
  <c r="Q93" i="19"/>
  <c r="Q94" i="19"/>
  <c r="Q95" i="19"/>
  <c r="Q96" i="19"/>
  <c r="Q97" i="19"/>
  <c r="Q98" i="19"/>
  <c r="Q99" i="19"/>
  <c r="Q100" i="19"/>
  <c r="Q101" i="19"/>
  <c r="Q102" i="19"/>
  <c r="Q103" i="19"/>
  <c r="Q104" i="19"/>
  <c r="Q105" i="19"/>
  <c r="Q106" i="19"/>
  <c r="Q107" i="19"/>
  <c r="Q108" i="19"/>
  <c r="Q109" i="19"/>
  <c r="Q110" i="19"/>
  <c r="Q111" i="19"/>
  <c r="Q112" i="19"/>
  <c r="Q113" i="19"/>
  <c r="Q114" i="19"/>
  <c r="Q115" i="19"/>
  <c r="Q116" i="19"/>
  <c r="Q117" i="19"/>
  <c r="Q118" i="19"/>
  <c r="Q119" i="19"/>
  <c r="Q120" i="19"/>
  <c r="Q121" i="19"/>
  <c r="Q122" i="19"/>
  <c r="Q123" i="19"/>
  <c r="Q124" i="19"/>
  <c r="Q125" i="19"/>
  <c r="Q126" i="19"/>
  <c r="Q127" i="19"/>
  <c r="Q128" i="19"/>
  <c r="Q129" i="19"/>
  <c r="Q130" i="19"/>
  <c r="Q131" i="19"/>
  <c r="Q132" i="19"/>
  <c r="Q133" i="19"/>
  <c r="Q134" i="19"/>
  <c r="Q135" i="19"/>
  <c r="Q136" i="19"/>
  <c r="Q137" i="19"/>
  <c r="Q138" i="19"/>
  <c r="Q139" i="19"/>
  <c r="Q140" i="19"/>
  <c r="Q141" i="19"/>
  <c r="Q142" i="19"/>
  <c r="Q143" i="19"/>
  <c r="Q144" i="19"/>
  <c r="Q145" i="19"/>
  <c r="Q146" i="19"/>
  <c r="Q147" i="19"/>
  <c r="Q148" i="19"/>
  <c r="Q149" i="19"/>
  <c r="Q150" i="19"/>
  <c r="Q151" i="19"/>
  <c r="Q152" i="19"/>
  <c r="Q153" i="19"/>
  <c r="Q154" i="19"/>
  <c r="Q155" i="19"/>
  <c r="Q156" i="19"/>
  <c r="Q157" i="19"/>
  <c r="Q158" i="19"/>
  <c r="Q159" i="19"/>
  <c r="Q160" i="19"/>
  <c r="Q161" i="19"/>
  <c r="Q162" i="19"/>
  <c r="Q163" i="19"/>
  <c r="Q164" i="19"/>
  <c r="Q165" i="19"/>
  <c r="Q166" i="19"/>
  <c r="Q167" i="19"/>
  <c r="Q168" i="19"/>
  <c r="Q169" i="19"/>
  <c r="Q170" i="19"/>
  <c r="Q171" i="19"/>
  <c r="Q172" i="19"/>
  <c r="Q173" i="19"/>
  <c r="Q174" i="19"/>
  <c r="Q175" i="19"/>
  <c r="Q176" i="19"/>
  <c r="Q177" i="19"/>
  <c r="Q178" i="19"/>
  <c r="Q179" i="19"/>
  <c r="Q180" i="19"/>
  <c r="Q181" i="19"/>
  <c r="Q182" i="19"/>
  <c r="Q183" i="19"/>
  <c r="Q184" i="19"/>
  <c r="Q185" i="19"/>
  <c r="Q186" i="19"/>
  <c r="Q187" i="19"/>
  <c r="Q188" i="19"/>
  <c r="Q189" i="19"/>
  <c r="Q190" i="19"/>
  <c r="Q191" i="19"/>
  <c r="Q192" i="19"/>
  <c r="Q193" i="19"/>
  <c r="Q194" i="19"/>
  <c r="Q195" i="19"/>
  <c r="Q196" i="19"/>
  <c r="Q197" i="19"/>
  <c r="Q198" i="19"/>
  <c r="Q199" i="19"/>
  <c r="Q200" i="19"/>
  <c r="Q201" i="19"/>
  <c r="BG4" i="18"/>
  <c r="BG5" i="18"/>
  <c r="BG6" i="18"/>
  <c r="BG7" i="18"/>
  <c r="BG8" i="18"/>
  <c r="BG9" i="18"/>
  <c r="BG10" i="18"/>
  <c r="BG11" i="18"/>
  <c r="BG12" i="18"/>
  <c r="BG13" i="18"/>
  <c r="BG14" i="18"/>
  <c r="BG15" i="18"/>
  <c r="BG16" i="18"/>
  <c r="BG17" i="18"/>
  <c r="BG18" i="18"/>
  <c r="BG19" i="18"/>
  <c r="BG20" i="18"/>
  <c r="BG21" i="18"/>
  <c r="BG22" i="18"/>
  <c r="BG23" i="18"/>
  <c r="BG24" i="18"/>
  <c r="BG25" i="18"/>
  <c r="BG26" i="18"/>
  <c r="BG27" i="18"/>
  <c r="BG28" i="18"/>
  <c r="BG29" i="18"/>
  <c r="BG30" i="18"/>
  <c r="BG31" i="18"/>
  <c r="BG32" i="18"/>
  <c r="BG33" i="18"/>
  <c r="BG34" i="18"/>
  <c r="BG35" i="18"/>
  <c r="BG36" i="18"/>
  <c r="BG37" i="18"/>
  <c r="BG38" i="18"/>
  <c r="BG39" i="18"/>
  <c r="BG40" i="18"/>
  <c r="BG41" i="18"/>
  <c r="BG42" i="18"/>
  <c r="BG43" i="18"/>
  <c r="BG44" i="18"/>
  <c r="BG45" i="18"/>
  <c r="BG46" i="18"/>
  <c r="BG47" i="18"/>
  <c r="BG48" i="18"/>
  <c r="BG49" i="18"/>
  <c r="BG50" i="18"/>
  <c r="BG51" i="18"/>
  <c r="BG52" i="18"/>
  <c r="BG53" i="18"/>
  <c r="BG54" i="18"/>
  <c r="BG55" i="18"/>
  <c r="BG56" i="18"/>
  <c r="BG57" i="18"/>
  <c r="BG58" i="18"/>
  <c r="BG59" i="18"/>
  <c r="BG60" i="18"/>
  <c r="BG61" i="18"/>
  <c r="BG62" i="18"/>
  <c r="BG63" i="18"/>
  <c r="BG64" i="18"/>
  <c r="BG65" i="18"/>
  <c r="BG66" i="18"/>
  <c r="BG67" i="18"/>
  <c r="BG68" i="18"/>
  <c r="BG69" i="18"/>
  <c r="BG70" i="18"/>
  <c r="BG71" i="18"/>
  <c r="BG72" i="18"/>
  <c r="BG73" i="18"/>
  <c r="BG74" i="18"/>
  <c r="BG75" i="18"/>
  <c r="BG76" i="18"/>
  <c r="BG77" i="18"/>
  <c r="BG78" i="18"/>
  <c r="BG79" i="18"/>
  <c r="BG80" i="18"/>
  <c r="BG81" i="18"/>
  <c r="BG82" i="18"/>
  <c r="BG83" i="18"/>
  <c r="BG84" i="18"/>
  <c r="BG85" i="18"/>
  <c r="BG86" i="18"/>
  <c r="BG87" i="18"/>
  <c r="BG88" i="18"/>
  <c r="BG89" i="18"/>
  <c r="BG90" i="18"/>
  <c r="BG91" i="18"/>
  <c r="BG92" i="18"/>
  <c r="BG93" i="18"/>
  <c r="BG94" i="18"/>
  <c r="BG95" i="18"/>
  <c r="BG96" i="18"/>
  <c r="BG97" i="18"/>
  <c r="BG98" i="18"/>
  <c r="BG99" i="18"/>
  <c r="BG100" i="18"/>
  <c r="BG101" i="18"/>
  <c r="BG102" i="18"/>
  <c r="BG103" i="18"/>
  <c r="BG104" i="18"/>
  <c r="BG105" i="18"/>
  <c r="BG106" i="18"/>
  <c r="BG107" i="18"/>
  <c r="BG108" i="18"/>
  <c r="BG109" i="18"/>
  <c r="BG110" i="18"/>
  <c r="BG111" i="18"/>
  <c r="BG112" i="18"/>
  <c r="BG113" i="18"/>
  <c r="BG114" i="18"/>
  <c r="BG115" i="18"/>
  <c r="BG116" i="18"/>
  <c r="BG117" i="18"/>
  <c r="BG118" i="18"/>
  <c r="BG119" i="18"/>
  <c r="BG120" i="18"/>
  <c r="BG121" i="18"/>
  <c r="BG122" i="18"/>
  <c r="BG123" i="18"/>
  <c r="BG124" i="18"/>
  <c r="BG125" i="18"/>
  <c r="BG126" i="18"/>
  <c r="BG127" i="18"/>
  <c r="BG128" i="18"/>
  <c r="BG129" i="18"/>
  <c r="BG130" i="18"/>
  <c r="BG131" i="18"/>
  <c r="BG132" i="18"/>
  <c r="BG133" i="18"/>
  <c r="BG134" i="18"/>
  <c r="BG135" i="18"/>
  <c r="BG136" i="18"/>
  <c r="BG137" i="18"/>
  <c r="BG138" i="18"/>
  <c r="BG139" i="18"/>
  <c r="BG140" i="18"/>
  <c r="BG141" i="18"/>
  <c r="BG142" i="18"/>
  <c r="BG143" i="18"/>
  <c r="BG144" i="18"/>
  <c r="BG145" i="18"/>
  <c r="BG146" i="18"/>
  <c r="BG147" i="18"/>
  <c r="BG148" i="18"/>
  <c r="BG149" i="18"/>
  <c r="BG150" i="18"/>
  <c r="BG151" i="18"/>
  <c r="BG152" i="18"/>
  <c r="BG153" i="18"/>
  <c r="BG154" i="18"/>
  <c r="BG155" i="18"/>
  <c r="BG156" i="18"/>
  <c r="BG157" i="18"/>
  <c r="BG158" i="18"/>
  <c r="BG159" i="18"/>
  <c r="BG160" i="18"/>
  <c r="BG161" i="18"/>
  <c r="BG162" i="18"/>
  <c r="BG163" i="18"/>
  <c r="BG164" i="18"/>
  <c r="BG165" i="18"/>
  <c r="BG166" i="18"/>
  <c r="BG167" i="18"/>
  <c r="BG168" i="18"/>
  <c r="BG169" i="18"/>
  <c r="BG170" i="18"/>
  <c r="BG171" i="18"/>
  <c r="BG172" i="18"/>
  <c r="BG173" i="18"/>
  <c r="BG174" i="18"/>
  <c r="BG175" i="18"/>
  <c r="BG176" i="18"/>
  <c r="BG177" i="18"/>
  <c r="BG178" i="18"/>
  <c r="BG179" i="18"/>
  <c r="BG180" i="18"/>
  <c r="BG181" i="18"/>
  <c r="BG182" i="18"/>
  <c r="BG183" i="18"/>
  <c r="BG184" i="18"/>
  <c r="BG185" i="18"/>
  <c r="BG186" i="18"/>
  <c r="BG187" i="18"/>
  <c r="BG188" i="18"/>
  <c r="BG189" i="18"/>
  <c r="BG190" i="18"/>
  <c r="BG191" i="18"/>
  <c r="BG192" i="18"/>
  <c r="BG193" i="18"/>
  <c r="BG194" i="18"/>
  <c r="BG195" i="18"/>
  <c r="BG196" i="18"/>
  <c r="BG197" i="18"/>
  <c r="BG198" i="18"/>
  <c r="BG199" i="18"/>
  <c r="BG200" i="18"/>
  <c r="BG201" i="18"/>
  <c r="BC4" i="18"/>
  <c r="BC5" i="18"/>
  <c r="BC6" i="18"/>
  <c r="BC7" i="18"/>
  <c r="BC8" i="18"/>
  <c r="BC9" i="18"/>
  <c r="BC10" i="18"/>
  <c r="BC11" i="18"/>
  <c r="BC12" i="18"/>
  <c r="BC13" i="18"/>
  <c r="BC14" i="18"/>
  <c r="BC15" i="18"/>
  <c r="BC16" i="18"/>
  <c r="BC17" i="18"/>
  <c r="BC18" i="18"/>
  <c r="BC19" i="18"/>
  <c r="BC20" i="18"/>
  <c r="BC21" i="18"/>
  <c r="BC22" i="18"/>
  <c r="BC23" i="18"/>
  <c r="BC24" i="18"/>
  <c r="BC25" i="18"/>
  <c r="BC26" i="18"/>
  <c r="BC27" i="18"/>
  <c r="BC28" i="18"/>
  <c r="BC29" i="18"/>
  <c r="BC30" i="18"/>
  <c r="BC31" i="18"/>
  <c r="BC32" i="18"/>
  <c r="BC33" i="18"/>
  <c r="BC34" i="18"/>
  <c r="BC35" i="18"/>
  <c r="BC36" i="18"/>
  <c r="BC37" i="18"/>
  <c r="BC38" i="18"/>
  <c r="BC39" i="18"/>
  <c r="BC40" i="18"/>
  <c r="BC41" i="18"/>
  <c r="BC42" i="18"/>
  <c r="BC43" i="18"/>
  <c r="BC44" i="18"/>
  <c r="BC45" i="18"/>
  <c r="BC46" i="18"/>
  <c r="BC47" i="18"/>
  <c r="BC48" i="18"/>
  <c r="BC49" i="18"/>
  <c r="BC50" i="18"/>
  <c r="BC51" i="18"/>
  <c r="BC52" i="18"/>
  <c r="BC53" i="18"/>
  <c r="BC54" i="18"/>
  <c r="BC55" i="18"/>
  <c r="BC56" i="18"/>
  <c r="BC57" i="18"/>
  <c r="BC58" i="18"/>
  <c r="BC59" i="18"/>
  <c r="BC60" i="18"/>
  <c r="BC61" i="18"/>
  <c r="BC62" i="18"/>
  <c r="BC63" i="18"/>
  <c r="BC64" i="18"/>
  <c r="BC65" i="18"/>
  <c r="BC66" i="18"/>
  <c r="BC67" i="18"/>
  <c r="BC68" i="18"/>
  <c r="BC69" i="18"/>
  <c r="BC70" i="18"/>
  <c r="BC71" i="18"/>
  <c r="BC72" i="18"/>
  <c r="BC73" i="18"/>
  <c r="BC74" i="18"/>
  <c r="BC75" i="18"/>
  <c r="BC76" i="18"/>
  <c r="BC77" i="18"/>
  <c r="BC78" i="18"/>
  <c r="BC79" i="18"/>
  <c r="BC80" i="18"/>
  <c r="BC81" i="18"/>
  <c r="BC82" i="18"/>
  <c r="BC83" i="18"/>
  <c r="BC84" i="18"/>
  <c r="BC85" i="18"/>
  <c r="BC86" i="18"/>
  <c r="BC87" i="18"/>
  <c r="BC88" i="18"/>
  <c r="BC89" i="18"/>
  <c r="BC90" i="18"/>
  <c r="BC91" i="18"/>
  <c r="BC92" i="18"/>
  <c r="BC93" i="18"/>
  <c r="BC94" i="18"/>
  <c r="BC95" i="18"/>
  <c r="BC96" i="18"/>
  <c r="BC97" i="18"/>
  <c r="BC98" i="18"/>
  <c r="BC99" i="18"/>
  <c r="BC100" i="18"/>
  <c r="BC101" i="18"/>
  <c r="BC102" i="18"/>
  <c r="BC103" i="18"/>
  <c r="BC104" i="18"/>
  <c r="BC105" i="18"/>
  <c r="BC106" i="18"/>
  <c r="BC107" i="18"/>
  <c r="BC108" i="18"/>
  <c r="BC109" i="18"/>
  <c r="BC110" i="18"/>
  <c r="BC111" i="18"/>
  <c r="BC112" i="18"/>
  <c r="BC113" i="18"/>
  <c r="BC114" i="18"/>
  <c r="BC115" i="18"/>
  <c r="BC116" i="18"/>
  <c r="BC117" i="18"/>
  <c r="BC118" i="18"/>
  <c r="BC119" i="18"/>
  <c r="BC120" i="18"/>
  <c r="BC121" i="18"/>
  <c r="BC122" i="18"/>
  <c r="BC123" i="18"/>
  <c r="BC124" i="18"/>
  <c r="BC125" i="18"/>
  <c r="BC126" i="18"/>
  <c r="BC127" i="18"/>
  <c r="BC128" i="18"/>
  <c r="BC129" i="18"/>
  <c r="BC130" i="18"/>
  <c r="BC131" i="18"/>
  <c r="BC132" i="18"/>
  <c r="BC133" i="18"/>
  <c r="BC134" i="18"/>
  <c r="BC135" i="18"/>
  <c r="BC136" i="18"/>
  <c r="BC137" i="18"/>
  <c r="BC138" i="18"/>
  <c r="BC139" i="18"/>
  <c r="BC140" i="18"/>
  <c r="BC141" i="18"/>
  <c r="BC142" i="18"/>
  <c r="BC143" i="18"/>
  <c r="BC144" i="18"/>
  <c r="BC145" i="18"/>
  <c r="BC146" i="18"/>
  <c r="BC147" i="18"/>
  <c r="BC148" i="18"/>
  <c r="BC149" i="18"/>
  <c r="BC150" i="18"/>
  <c r="BC151" i="18"/>
  <c r="BC152" i="18"/>
  <c r="BC153" i="18"/>
  <c r="BC154" i="18"/>
  <c r="BC155" i="18"/>
  <c r="BC156" i="18"/>
  <c r="BC157" i="18"/>
  <c r="BC158" i="18"/>
  <c r="BC159" i="18"/>
  <c r="BC160" i="18"/>
  <c r="BC161" i="18"/>
  <c r="BC162" i="18"/>
  <c r="BC163" i="18"/>
  <c r="BC164" i="18"/>
  <c r="BC165" i="18"/>
  <c r="BC166" i="18"/>
  <c r="BC167" i="18"/>
  <c r="BC168" i="18"/>
  <c r="BC169" i="18"/>
  <c r="BC170" i="18"/>
  <c r="BC171" i="18"/>
  <c r="BC172" i="18"/>
  <c r="BC173" i="18"/>
  <c r="BC174" i="18"/>
  <c r="BC175" i="18"/>
  <c r="BC176" i="18"/>
  <c r="BC177" i="18"/>
  <c r="BC178" i="18"/>
  <c r="BC179" i="18"/>
  <c r="BC180" i="18"/>
  <c r="BC181" i="18"/>
  <c r="BC182" i="18"/>
  <c r="BC183" i="18"/>
  <c r="BC184" i="18"/>
  <c r="BC185" i="18"/>
  <c r="BC186" i="18"/>
  <c r="BC187" i="18"/>
  <c r="BC188" i="18"/>
  <c r="BC189" i="18"/>
  <c r="BC190" i="18"/>
  <c r="BC191" i="18"/>
  <c r="BC192" i="18"/>
  <c r="BC193" i="18"/>
  <c r="BC194" i="18"/>
  <c r="BC195" i="18"/>
  <c r="BC196" i="18"/>
  <c r="BC197" i="18"/>
  <c r="BC198" i="18"/>
  <c r="BC199" i="18"/>
  <c r="BC200" i="18"/>
  <c r="BC201" i="18"/>
  <c r="AY4" i="18"/>
  <c r="AY5" i="18"/>
  <c r="AY6" i="18"/>
  <c r="AY7" i="18"/>
  <c r="AY8" i="18"/>
  <c r="AY9" i="18"/>
  <c r="AY10" i="18"/>
  <c r="AY11" i="18"/>
  <c r="AY12" i="18"/>
  <c r="AY13" i="18"/>
  <c r="AY14" i="18"/>
  <c r="AY15" i="18"/>
  <c r="AY16" i="18"/>
  <c r="AY17" i="18"/>
  <c r="AY18" i="18"/>
  <c r="AY19" i="18"/>
  <c r="AY20" i="18"/>
  <c r="AY21" i="18"/>
  <c r="AY22" i="18"/>
  <c r="AY23" i="18"/>
  <c r="AY24" i="18"/>
  <c r="AY25" i="18"/>
  <c r="AY26" i="18"/>
  <c r="AY27" i="18"/>
  <c r="AY28" i="18"/>
  <c r="AY29" i="18"/>
  <c r="AY30" i="18"/>
  <c r="AY31" i="18"/>
  <c r="AY32" i="18"/>
  <c r="AY33" i="18"/>
  <c r="AY34" i="18"/>
  <c r="AY35" i="18"/>
  <c r="AY36" i="18"/>
  <c r="AY37" i="18"/>
  <c r="AY38" i="18"/>
  <c r="AY39" i="18"/>
  <c r="AY40" i="18"/>
  <c r="AY41" i="18"/>
  <c r="AY42" i="18"/>
  <c r="AY43" i="18"/>
  <c r="AY44" i="18"/>
  <c r="AY45" i="18"/>
  <c r="AY46" i="18"/>
  <c r="AY47" i="18"/>
  <c r="AY48" i="18"/>
  <c r="AY49" i="18"/>
  <c r="AY50" i="18"/>
  <c r="AY51" i="18"/>
  <c r="AY52" i="18"/>
  <c r="AY53" i="18"/>
  <c r="AY54" i="18"/>
  <c r="AY55" i="18"/>
  <c r="AY56" i="18"/>
  <c r="AY57" i="18"/>
  <c r="AY58" i="18"/>
  <c r="AY59" i="18"/>
  <c r="AY60" i="18"/>
  <c r="AY61" i="18"/>
  <c r="AY62" i="18"/>
  <c r="AY63" i="18"/>
  <c r="AY64" i="18"/>
  <c r="AY65" i="18"/>
  <c r="AY66" i="18"/>
  <c r="AY67" i="18"/>
  <c r="AY68" i="18"/>
  <c r="AY69" i="18"/>
  <c r="AY70" i="18"/>
  <c r="AY71" i="18"/>
  <c r="AY72" i="18"/>
  <c r="AY73" i="18"/>
  <c r="AY74" i="18"/>
  <c r="AY75" i="18"/>
  <c r="AY76" i="18"/>
  <c r="AY77" i="18"/>
  <c r="AY78" i="18"/>
  <c r="AY79" i="18"/>
  <c r="AY80" i="18"/>
  <c r="AY81" i="18"/>
  <c r="AY82" i="18"/>
  <c r="AY83" i="18"/>
  <c r="AY84" i="18"/>
  <c r="AY85" i="18"/>
  <c r="AY86" i="18"/>
  <c r="AY87" i="18"/>
  <c r="AY88" i="18"/>
  <c r="AY89" i="18"/>
  <c r="AY90" i="18"/>
  <c r="AY91" i="18"/>
  <c r="AY92" i="18"/>
  <c r="AY93" i="18"/>
  <c r="AY94" i="18"/>
  <c r="AY95" i="18"/>
  <c r="AY96" i="18"/>
  <c r="AY97" i="18"/>
  <c r="AY98" i="18"/>
  <c r="AY99" i="18"/>
  <c r="AY100" i="18"/>
  <c r="AY101" i="18"/>
  <c r="AY102" i="18"/>
  <c r="AY103" i="18"/>
  <c r="AY104" i="18"/>
  <c r="AY105" i="18"/>
  <c r="AY106" i="18"/>
  <c r="AY107" i="18"/>
  <c r="AY108" i="18"/>
  <c r="AY109" i="18"/>
  <c r="AY110" i="18"/>
  <c r="AY111" i="18"/>
  <c r="AY112" i="18"/>
  <c r="AY113" i="18"/>
  <c r="AY114" i="18"/>
  <c r="AY115" i="18"/>
  <c r="AY116" i="18"/>
  <c r="AY117" i="18"/>
  <c r="AY118" i="18"/>
  <c r="AY119" i="18"/>
  <c r="AY120" i="18"/>
  <c r="AY121" i="18"/>
  <c r="AY122" i="18"/>
  <c r="AY123" i="18"/>
  <c r="AY124" i="18"/>
  <c r="AY125" i="18"/>
  <c r="AY126" i="18"/>
  <c r="AY127" i="18"/>
  <c r="AY128" i="18"/>
  <c r="AY129" i="18"/>
  <c r="AY130" i="18"/>
  <c r="AY131" i="18"/>
  <c r="AY132" i="18"/>
  <c r="AY133" i="18"/>
  <c r="AY134" i="18"/>
  <c r="AY135" i="18"/>
  <c r="AY136" i="18"/>
  <c r="AY137" i="18"/>
  <c r="AY138" i="18"/>
  <c r="AY139" i="18"/>
  <c r="AY140" i="18"/>
  <c r="AY141" i="18"/>
  <c r="AY142" i="18"/>
  <c r="AY143" i="18"/>
  <c r="AY144" i="18"/>
  <c r="AY145" i="18"/>
  <c r="AY146" i="18"/>
  <c r="AY147" i="18"/>
  <c r="AY148" i="18"/>
  <c r="AY149" i="18"/>
  <c r="AY150" i="18"/>
  <c r="AY151" i="18"/>
  <c r="AY152" i="18"/>
  <c r="AY153" i="18"/>
  <c r="AY154" i="18"/>
  <c r="AY155" i="18"/>
  <c r="AY156" i="18"/>
  <c r="AY157" i="18"/>
  <c r="AY158" i="18"/>
  <c r="AY159" i="18"/>
  <c r="AY160" i="18"/>
  <c r="AY161" i="18"/>
  <c r="AY162" i="18"/>
  <c r="AY163" i="18"/>
  <c r="AY164" i="18"/>
  <c r="AY165" i="18"/>
  <c r="AY166" i="18"/>
  <c r="AY167" i="18"/>
  <c r="AY168" i="18"/>
  <c r="AY169" i="18"/>
  <c r="AY170" i="18"/>
  <c r="AY171" i="18"/>
  <c r="AY172" i="18"/>
  <c r="AY173" i="18"/>
  <c r="AY174" i="18"/>
  <c r="AY175" i="18"/>
  <c r="AY176" i="18"/>
  <c r="AY177" i="18"/>
  <c r="AY178" i="18"/>
  <c r="AY179" i="18"/>
  <c r="AY180" i="18"/>
  <c r="AY181" i="18"/>
  <c r="AY182" i="18"/>
  <c r="AY183" i="18"/>
  <c r="AY184" i="18"/>
  <c r="AY185" i="18"/>
  <c r="AY186" i="18"/>
  <c r="AY187" i="18"/>
  <c r="AY188" i="18"/>
  <c r="AY189" i="18"/>
  <c r="AY190" i="18"/>
  <c r="AY191" i="18"/>
  <c r="AY192" i="18"/>
  <c r="AY193" i="18"/>
  <c r="AY194" i="18"/>
  <c r="AY195" i="18"/>
  <c r="AY196" i="18"/>
  <c r="AY197" i="18"/>
  <c r="AY198" i="18"/>
  <c r="AY199" i="18"/>
  <c r="AY200" i="18"/>
  <c r="AY201" i="18"/>
  <c r="AP4" i="18"/>
  <c r="AP5" i="18"/>
  <c r="AP6" i="18"/>
  <c r="AP7" i="18"/>
  <c r="AP8" i="18"/>
  <c r="AP9" i="18"/>
  <c r="AP10" i="18"/>
  <c r="AP11" i="18"/>
  <c r="AP12" i="18"/>
  <c r="AP13" i="18"/>
  <c r="AP14" i="18"/>
  <c r="AP15" i="18"/>
  <c r="AP16" i="18"/>
  <c r="AP17" i="18"/>
  <c r="AP18" i="18"/>
  <c r="AP19" i="18"/>
  <c r="AP20" i="18"/>
  <c r="AP21" i="18"/>
  <c r="AP22" i="18"/>
  <c r="AP23" i="18"/>
  <c r="AP24" i="18"/>
  <c r="AP25" i="18"/>
  <c r="AP26" i="18"/>
  <c r="AP27" i="18"/>
  <c r="AP28" i="18"/>
  <c r="AP29" i="18"/>
  <c r="AP30" i="18"/>
  <c r="AP31" i="18"/>
  <c r="AP32" i="18"/>
  <c r="AP33" i="18"/>
  <c r="AP34" i="18"/>
  <c r="AP35" i="18"/>
  <c r="AP36" i="18"/>
  <c r="AP37" i="18"/>
  <c r="AP38" i="18"/>
  <c r="AP39" i="18"/>
  <c r="AP40" i="18"/>
  <c r="AP41" i="18"/>
  <c r="AP42" i="18"/>
  <c r="AP43" i="18"/>
  <c r="AP44" i="18"/>
  <c r="AP45" i="18"/>
  <c r="AP46" i="18"/>
  <c r="AP47" i="18"/>
  <c r="AP48" i="18"/>
  <c r="AP49" i="18"/>
  <c r="AP50" i="18"/>
  <c r="AP51" i="18"/>
  <c r="AP52" i="18"/>
  <c r="AP53" i="18"/>
  <c r="AP54" i="18"/>
  <c r="AP55" i="18"/>
  <c r="AP56" i="18"/>
  <c r="AP57" i="18"/>
  <c r="AP58" i="18"/>
  <c r="AP59" i="18"/>
  <c r="AP60" i="18"/>
  <c r="AP61" i="18"/>
  <c r="AP62" i="18"/>
  <c r="AP63" i="18"/>
  <c r="AP64" i="18"/>
  <c r="AP65" i="18"/>
  <c r="AP66" i="18"/>
  <c r="AP67" i="18"/>
  <c r="AP68" i="18"/>
  <c r="AP69" i="18"/>
  <c r="AP70" i="18"/>
  <c r="AP71" i="18"/>
  <c r="AP72" i="18"/>
  <c r="AP73" i="18"/>
  <c r="AP74" i="18"/>
  <c r="AP75" i="18"/>
  <c r="AP76" i="18"/>
  <c r="AP77" i="18"/>
  <c r="AP78" i="18"/>
  <c r="AP79" i="18"/>
  <c r="AP80" i="18"/>
  <c r="AP81" i="18"/>
  <c r="AP82" i="18"/>
  <c r="AP83" i="18"/>
  <c r="AP84" i="18"/>
  <c r="AP85" i="18"/>
  <c r="AP86" i="18"/>
  <c r="AP87" i="18"/>
  <c r="AP88" i="18"/>
  <c r="AP89" i="18"/>
  <c r="AP90" i="18"/>
  <c r="AP91" i="18"/>
  <c r="AP92" i="18"/>
  <c r="AP93" i="18"/>
  <c r="AP94" i="18"/>
  <c r="AP95" i="18"/>
  <c r="AP96" i="18"/>
  <c r="AP97" i="18"/>
  <c r="AP98" i="18"/>
  <c r="AP99" i="18"/>
  <c r="AP100" i="18"/>
  <c r="AP101" i="18"/>
  <c r="AP102" i="18"/>
  <c r="AP103" i="18"/>
  <c r="AP104" i="18"/>
  <c r="AP105" i="18"/>
  <c r="AP106" i="18"/>
  <c r="AP107" i="18"/>
  <c r="AP108" i="18"/>
  <c r="AP109" i="18"/>
  <c r="AP110" i="18"/>
  <c r="AP111" i="18"/>
  <c r="AP112" i="18"/>
  <c r="AP113" i="18"/>
  <c r="AP114" i="18"/>
  <c r="AP115" i="18"/>
  <c r="AP116" i="18"/>
  <c r="AP117" i="18"/>
  <c r="AP118" i="18"/>
  <c r="AP119" i="18"/>
  <c r="AP120" i="18"/>
  <c r="AP121" i="18"/>
  <c r="AP122" i="18"/>
  <c r="AP123" i="18"/>
  <c r="AP124" i="18"/>
  <c r="AP125" i="18"/>
  <c r="AP126" i="18"/>
  <c r="AP127" i="18"/>
  <c r="AP128" i="18"/>
  <c r="AP129" i="18"/>
  <c r="AP130" i="18"/>
  <c r="AP131" i="18"/>
  <c r="AP132" i="18"/>
  <c r="AP133" i="18"/>
  <c r="AP134" i="18"/>
  <c r="AP135" i="18"/>
  <c r="AP136" i="18"/>
  <c r="AP137" i="18"/>
  <c r="AP138" i="18"/>
  <c r="AP139" i="18"/>
  <c r="AP140" i="18"/>
  <c r="AP141" i="18"/>
  <c r="AP142" i="18"/>
  <c r="AP143" i="18"/>
  <c r="AP144" i="18"/>
  <c r="AP145" i="18"/>
  <c r="AP146" i="18"/>
  <c r="AP147" i="18"/>
  <c r="AP148" i="18"/>
  <c r="AP149" i="18"/>
  <c r="AP150" i="18"/>
  <c r="AP151" i="18"/>
  <c r="AP152" i="18"/>
  <c r="AP153" i="18"/>
  <c r="AP154" i="18"/>
  <c r="AP155" i="18"/>
  <c r="AP156" i="18"/>
  <c r="AP157" i="18"/>
  <c r="AP158" i="18"/>
  <c r="AP159" i="18"/>
  <c r="AP160" i="18"/>
  <c r="AP161" i="18"/>
  <c r="AP162" i="18"/>
  <c r="AP163" i="18"/>
  <c r="AP164" i="18"/>
  <c r="AP165" i="18"/>
  <c r="AP166" i="18"/>
  <c r="AP167" i="18"/>
  <c r="AP168" i="18"/>
  <c r="AP169" i="18"/>
  <c r="AP170" i="18"/>
  <c r="AP171" i="18"/>
  <c r="AP172" i="18"/>
  <c r="AP173" i="18"/>
  <c r="AP174" i="18"/>
  <c r="AP175" i="18"/>
  <c r="AP176" i="18"/>
  <c r="AP177" i="18"/>
  <c r="AP178" i="18"/>
  <c r="AP179" i="18"/>
  <c r="AP180" i="18"/>
  <c r="AP181" i="18"/>
  <c r="AP182" i="18"/>
  <c r="AP183" i="18"/>
  <c r="AP184" i="18"/>
  <c r="AP185" i="18"/>
  <c r="AP186" i="18"/>
  <c r="AP187" i="18"/>
  <c r="AP188" i="18"/>
  <c r="AP189" i="18"/>
  <c r="AP190" i="18"/>
  <c r="AP191" i="18"/>
  <c r="AP192" i="18"/>
  <c r="AP193" i="18"/>
  <c r="AP194" i="18"/>
  <c r="AP195" i="18"/>
  <c r="AP196" i="18"/>
  <c r="AP197" i="18"/>
  <c r="AP198" i="18"/>
  <c r="AP199" i="18"/>
  <c r="AP200" i="18"/>
  <c r="AP201" i="18"/>
  <c r="AL4" i="18"/>
  <c r="AL5" i="18"/>
  <c r="AL6" i="18"/>
  <c r="AL7" i="18"/>
  <c r="AL8" i="18"/>
  <c r="AL9" i="18"/>
  <c r="AL10" i="18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38" i="18"/>
  <c r="AL39" i="18"/>
  <c r="AL40" i="18"/>
  <c r="AL41" i="18"/>
  <c r="AL42" i="18"/>
  <c r="AL43" i="18"/>
  <c r="AL44" i="18"/>
  <c r="AL45" i="18"/>
  <c r="AL46" i="18"/>
  <c r="AL47" i="18"/>
  <c r="AL48" i="18"/>
  <c r="AL49" i="18"/>
  <c r="AL50" i="18"/>
  <c r="AL51" i="18"/>
  <c r="AL52" i="18"/>
  <c r="AL53" i="18"/>
  <c r="AL54" i="18"/>
  <c r="AL55" i="18"/>
  <c r="AL56" i="18"/>
  <c r="AL57" i="18"/>
  <c r="AL58" i="18"/>
  <c r="AL59" i="18"/>
  <c r="AL60" i="18"/>
  <c r="AL61" i="18"/>
  <c r="AL62" i="18"/>
  <c r="AL63" i="18"/>
  <c r="AL64" i="18"/>
  <c r="AL65" i="18"/>
  <c r="AL66" i="18"/>
  <c r="AL67" i="18"/>
  <c r="AL68" i="18"/>
  <c r="AL69" i="18"/>
  <c r="AL70" i="18"/>
  <c r="AL71" i="18"/>
  <c r="AL72" i="18"/>
  <c r="AL73" i="18"/>
  <c r="AL74" i="18"/>
  <c r="AL75" i="18"/>
  <c r="AL76" i="18"/>
  <c r="AL77" i="18"/>
  <c r="AL78" i="18"/>
  <c r="AL79" i="18"/>
  <c r="AL80" i="18"/>
  <c r="AL81" i="18"/>
  <c r="AL82" i="18"/>
  <c r="AL83" i="18"/>
  <c r="AL84" i="18"/>
  <c r="AL85" i="18"/>
  <c r="AL86" i="18"/>
  <c r="AL87" i="18"/>
  <c r="AL88" i="18"/>
  <c r="AL89" i="18"/>
  <c r="AL90" i="18"/>
  <c r="AL91" i="18"/>
  <c r="AL92" i="18"/>
  <c r="AL93" i="18"/>
  <c r="AL94" i="18"/>
  <c r="AL95" i="18"/>
  <c r="AL96" i="18"/>
  <c r="AL97" i="18"/>
  <c r="AL98" i="18"/>
  <c r="AL99" i="18"/>
  <c r="AL100" i="18"/>
  <c r="AL101" i="18"/>
  <c r="AL102" i="18"/>
  <c r="AL103" i="18"/>
  <c r="AL104" i="18"/>
  <c r="AL105" i="18"/>
  <c r="AL106" i="18"/>
  <c r="AL107" i="18"/>
  <c r="AL108" i="18"/>
  <c r="AL109" i="18"/>
  <c r="AL110" i="18"/>
  <c r="AL111" i="18"/>
  <c r="AL112" i="18"/>
  <c r="AL113" i="18"/>
  <c r="AL114" i="18"/>
  <c r="AL115" i="18"/>
  <c r="AL116" i="18"/>
  <c r="AL117" i="18"/>
  <c r="AL118" i="18"/>
  <c r="AL119" i="18"/>
  <c r="AL120" i="18"/>
  <c r="AL121" i="18"/>
  <c r="AL122" i="18"/>
  <c r="AL123" i="18"/>
  <c r="AL124" i="18"/>
  <c r="AL125" i="18"/>
  <c r="AL126" i="18"/>
  <c r="AL127" i="18"/>
  <c r="AL128" i="18"/>
  <c r="AL129" i="18"/>
  <c r="AL130" i="18"/>
  <c r="AL131" i="18"/>
  <c r="AL132" i="18"/>
  <c r="AL133" i="18"/>
  <c r="AL134" i="18"/>
  <c r="AL135" i="18"/>
  <c r="AL136" i="18"/>
  <c r="AL137" i="18"/>
  <c r="AL138" i="18"/>
  <c r="AL139" i="18"/>
  <c r="AL140" i="18"/>
  <c r="AL141" i="18"/>
  <c r="AL142" i="18"/>
  <c r="AL143" i="18"/>
  <c r="AL144" i="18"/>
  <c r="AL145" i="18"/>
  <c r="AL146" i="18"/>
  <c r="AL147" i="18"/>
  <c r="AL148" i="18"/>
  <c r="AL149" i="18"/>
  <c r="AL150" i="18"/>
  <c r="AL151" i="18"/>
  <c r="AL152" i="18"/>
  <c r="AL153" i="18"/>
  <c r="AL154" i="18"/>
  <c r="AL155" i="18"/>
  <c r="AL156" i="18"/>
  <c r="AL157" i="18"/>
  <c r="AL158" i="18"/>
  <c r="AL159" i="18"/>
  <c r="AL160" i="18"/>
  <c r="AL161" i="18"/>
  <c r="AL162" i="18"/>
  <c r="AL163" i="18"/>
  <c r="AL164" i="18"/>
  <c r="AL165" i="18"/>
  <c r="AL166" i="18"/>
  <c r="AL167" i="18"/>
  <c r="AL168" i="18"/>
  <c r="AL169" i="18"/>
  <c r="AL170" i="18"/>
  <c r="AL171" i="18"/>
  <c r="AL172" i="18"/>
  <c r="AL173" i="18"/>
  <c r="AL174" i="18"/>
  <c r="AL175" i="18"/>
  <c r="AL176" i="18"/>
  <c r="AL177" i="18"/>
  <c r="AL178" i="18"/>
  <c r="AL179" i="18"/>
  <c r="AL180" i="18"/>
  <c r="AL181" i="18"/>
  <c r="AL182" i="18"/>
  <c r="AL183" i="18"/>
  <c r="AL184" i="18"/>
  <c r="AL185" i="18"/>
  <c r="AL186" i="18"/>
  <c r="AL187" i="18"/>
  <c r="AL188" i="18"/>
  <c r="AL189" i="18"/>
  <c r="AL190" i="18"/>
  <c r="AL191" i="18"/>
  <c r="AL192" i="18"/>
  <c r="AL193" i="18"/>
  <c r="AL194" i="18"/>
  <c r="AL195" i="18"/>
  <c r="AL196" i="18"/>
  <c r="AL197" i="18"/>
  <c r="AL198" i="18"/>
  <c r="AL199" i="18"/>
  <c r="AL200" i="18"/>
  <c r="AL201" i="18"/>
  <c r="AH4" i="18"/>
  <c r="AH5" i="18"/>
  <c r="AH6" i="18"/>
  <c r="AH7" i="18"/>
  <c r="AH8" i="18"/>
  <c r="AH9" i="18"/>
  <c r="AH10" i="18"/>
  <c r="AH11" i="18"/>
  <c r="AH12" i="18"/>
  <c r="AH13" i="18"/>
  <c r="AH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AH42" i="18"/>
  <c r="AH43" i="18"/>
  <c r="AH44" i="18"/>
  <c r="AH45" i="18"/>
  <c r="AH46" i="18"/>
  <c r="AH47" i="18"/>
  <c r="AH48" i="18"/>
  <c r="AH49" i="18"/>
  <c r="AH50" i="18"/>
  <c r="AH51" i="18"/>
  <c r="AH52" i="18"/>
  <c r="AH53" i="18"/>
  <c r="AH54" i="18"/>
  <c r="AH55" i="18"/>
  <c r="AH56" i="18"/>
  <c r="AH57" i="18"/>
  <c r="AH58" i="18"/>
  <c r="AH59" i="18"/>
  <c r="AH60" i="18"/>
  <c r="AH61" i="18"/>
  <c r="AH62" i="18"/>
  <c r="AH63" i="18"/>
  <c r="AH64" i="18"/>
  <c r="AH65" i="18"/>
  <c r="AH66" i="18"/>
  <c r="AH67" i="18"/>
  <c r="AH68" i="18"/>
  <c r="AH69" i="18"/>
  <c r="AH70" i="18"/>
  <c r="AH71" i="18"/>
  <c r="AH72" i="18"/>
  <c r="AH73" i="18"/>
  <c r="AH74" i="18"/>
  <c r="AH75" i="18"/>
  <c r="AH76" i="18"/>
  <c r="AH77" i="18"/>
  <c r="AH78" i="18"/>
  <c r="AH79" i="18"/>
  <c r="AH80" i="18"/>
  <c r="AH81" i="18"/>
  <c r="AH82" i="18"/>
  <c r="AH83" i="18"/>
  <c r="AH84" i="18"/>
  <c r="AH85" i="18"/>
  <c r="AH86" i="18"/>
  <c r="AH87" i="18"/>
  <c r="AH88" i="18"/>
  <c r="AH89" i="18"/>
  <c r="AH90" i="18"/>
  <c r="AH91" i="18"/>
  <c r="AH92" i="18"/>
  <c r="AH93" i="18"/>
  <c r="AH94" i="18"/>
  <c r="AH95" i="18"/>
  <c r="AH96" i="18"/>
  <c r="AH97" i="18"/>
  <c r="AH98" i="18"/>
  <c r="AH99" i="18"/>
  <c r="AH100" i="18"/>
  <c r="AH101" i="18"/>
  <c r="AH102" i="18"/>
  <c r="AH103" i="18"/>
  <c r="AH104" i="18"/>
  <c r="AH105" i="18"/>
  <c r="AH106" i="18"/>
  <c r="AH107" i="18"/>
  <c r="AH108" i="18"/>
  <c r="AH109" i="18"/>
  <c r="AH110" i="18"/>
  <c r="AH111" i="18"/>
  <c r="AH112" i="18"/>
  <c r="AH113" i="18"/>
  <c r="AH114" i="18"/>
  <c r="AH115" i="18"/>
  <c r="AH116" i="18"/>
  <c r="AH117" i="18"/>
  <c r="AH118" i="18"/>
  <c r="AH119" i="18"/>
  <c r="AH120" i="18"/>
  <c r="AH121" i="18"/>
  <c r="AH122" i="18"/>
  <c r="AH123" i="18"/>
  <c r="AH124" i="18"/>
  <c r="AH125" i="18"/>
  <c r="AH126" i="18"/>
  <c r="AH127" i="18"/>
  <c r="AH128" i="18"/>
  <c r="AH129" i="18"/>
  <c r="AH130" i="18"/>
  <c r="AH131" i="18"/>
  <c r="AH132" i="18"/>
  <c r="AH133" i="18"/>
  <c r="AH134" i="18"/>
  <c r="AH135" i="18"/>
  <c r="AH136" i="18"/>
  <c r="AH137" i="18"/>
  <c r="AH138" i="18"/>
  <c r="AH139" i="18"/>
  <c r="AH140" i="18"/>
  <c r="AH141" i="18"/>
  <c r="AH142" i="18"/>
  <c r="AH143" i="18"/>
  <c r="AH144" i="18"/>
  <c r="AH145" i="18"/>
  <c r="AH146" i="18"/>
  <c r="AH147" i="18"/>
  <c r="AH148" i="18"/>
  <c r="AH149" i="18"/>
  <c r="AH150" i="18"/>
  <c r="AH151" i="18"/>
  <c r="AH152" i="18"/>
  <c r="AH153" i="18"/>
  <c r="AH154" i="18"/>
  <c r="AH155" i="18"/>
  <c r="AH156" i="18"/>
  <c r="AH157" i="18"/>
  <c r="AH158" i="18"/>
  <c r="AH159" i="18"/>
  <c r="AH160" i="18"/>
  <c r="AH161" i="18"/>
  <c r="AH162" i="18"/>
  <c r="AH163" i="18"/>
  <c r="AH164" i="18"/>
  <c r="AH165" i="18"/>
  <c r="AH166" i="18"/>
  <c r="AH167" i="18"/>
  <c r="AH168" i="18"/>
  <c r="AH169" i="18"/>
  <c r="AH170" i="18"/>
  <c r="AH171" i="18"/>
  <c r="AH172" i="18"/>
  <c r="AH173" i="18"/>
  <c r="AH174" i="18"/>
  <c r="AH175" i="18"/>
  <c r="AH176" i="18"/>
  <c r="AH177" i="18"/>
  <c r="AH178" i="18"/>
  <c r="AH179" i="18"/>
  <c r="AH180" i="18"/>
  <c r="AH181" i="18"/>
  <c r="AH182" i="18"/>
  <c r="AH183" i="18"/>
  <c r="AH184" i="18"/>
  <c r="AH185" i="18"/>
  <c r="AH186" i="18"/>
  <c r="AH187" i="18"/>
  <c r="AH188" i="18"/>
  <c r="AH189" i="18"/>
  <c r="AH190" i="18"/>
  <c r="AH191" i="18"/>
  <c r="AH192" i="18"/>
  <c r="AH193" i="18"/>
  <c r="AH194" i="18"/>
  <c r="AH195" i="18"/>
  <c r="AH196" i="18"/>
  <c r="AH197" i="18"/>
  <c r="AH198" i="18"/>
  <c r="AH199" i="18"/>
  <c r="AH200" i="18"/>
  <c r="AH201" i="18"/>
  <c r="Y4" i="18"/>
  <c r="Y5" i="18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75" i="18"/>
  <c r="Y76" i="18"/>
  <c r="Y77" i="18"/>
  <c r="Y78" i="18"/>
  <c r="Y79" i="18"/>
  <c r="Y80" i="18"/>
  <c r="Y81" i="18"/>
  <c r="Y82" i="18"/>
  <c r="Y83" i="18"/>
  <c r="Y84" i="18"/>
  <c r="Y85" i="18"/>
  <c r="Y86" i="18"/>
  <c r="Y87" i="18"/>
  <c r="Y88" i="18"/>
  <c r="Y89" i="18"/>
  <c r="Y90" i="18"/>
  <c r="Y91" i="18"/>
  <c r="Y92" i="18"/>
  <c r="Y93" i="18"/>
  <c r="Y94" i="18"/>
  <c r="Y95" i="18"/>
  <c r="Y96" i="18"/>
  <c r="Y97" i="18"/>
  <c r="Y98" i="18"/>
  <c r="Y99" i="18"/>
  <c r="Y100" i="18"/>
  <c r="Y101" i="18"/>
  <c r="Y102" i="18"/>
  <c r="Y103" i="18"/>
  <c r="Y104" i="18"/>
  <c r="Y105" i="18"/>
  <c r="Y106" i="18"/>
  <c r="Y107" i="18"/>
  <c r="Y108" i="18"/>
  <c r="Y109" i="18"/>
  <c r="Y110" i="18"/>
  <c r="Y111" i="18"/>
  <c r="Y112" i="18"/>
  <c r="Y113" i="18"/>
  <c r="Y114" i="18"/>
  <c r="Y115" i="18"/>
  <c r="Y116" i="18"/>
  <c r="Y117" i="18"/>
  <c r="Y118" i="18"/>
  <c r="Y119" i="18"/>
  <c r="Y120" i="18"/>
  <c r="Y121" i="18"/>
  <c r="Y122" i="18"/>
  <c r="Y123" i="18"/>
  <c r="Y124" i="18"/>
  <c r="Y125" i="18"/>
  <c r="Y126" i="18"/>
  <c r="Y127" i="18"/>
  <c r="Y128" i="18"/>
  <c r="Y129" i="18"/>
  <c r="Y130" i="18"/>
  <c r="Y131" i="18"/>
  <c r="Y132" i="18"/>
  <c r="Y133" i="18"/>
  <c r="Y134" i="18"/>
  <c r="Y135" i="18"/>
  <c r="Y136" i="18"/>
  <c r="Y137" i="18"/>
  <c r="Y138" i="18"/>
  <c r="Y139" i="18"/>
  <c r="Y140" i="18"/>
  <c r="Y141" i="18"/>
  <c r="Y142" i="18"/>
  <c r="Y143" i="18"/>
  <c r="Y144" i="18"/>
  <c r="Y145" i="18"/>
  <c r="Y146" i="18"/>
  <c r="Y147" i="18"/>
  <c r="Y148" i="18"/>
  <c r="Y149" i="18"/>
  <c r="Y150" i="18"/>
  <c r="Y151" i="18"/>
  <c r="Y152" i="18"/>
  <c r="Y153" i="18"/>
  <c r="Y154" i="18"/>
  <c r="Y155" i="18"/>
  <c r="Y156" i="18"/>
  <c r="Y157" i="18"/>
  <c r="Y158" i="18"/>
  <c r="Y159" i="18"/>
  <c r="Y160" i="18"/>
  <c r="Y161" i="18"/>
  <c r="Y162" i="18"/>
  <c r="Y163" i="18"/>
  <c r="Y164" i="18"/>
  <c r="Y165" i="18"/>
  <c r="Y166" i="18"/>
  <c r="Y167" i="18"/>
  <c r="Y168" i="18"/>
  <c r="Y169" i="18"/>
  <c r="Y170" i="18"/>
  <c r="Y171" i="18"/>
  <c r="Y172" i="18"/>
  <c r="Y173" i="18"/>
  <c r="Y174" i="18"/>
  <c r="Y175" i="18"/>
  <c r="Y176" i="18"/>
  <c r="Y177" i="18"/>
  <c r="Y178" i="18"/>
  <c r="Y179" i="18"/>
  <c r="Y180" i="18"/>
  <c r="Y181" i="18"/>
  <c r="Y182" i="18"/>
  <c r="Y183" i="18"/>
  <c r="Y184" i="18"/>
  <c r="Y185" i="18"/>
  <c r="Y186" i="18"/>
  <c r="Y187" i="18"/>
  <c r="Y188" i="18"/>
  <c r="Y189" i="18"/>
  <c r="Y190" i="18"/>
  <c r="Y191" i="18"/>
  <c r="Y192" i="18"/>
  <c r="Y193" i="18"/>
  <c r="Y194" i="18"/>
  <c r="Y195" i="18"/>
  <c r="Y196" i="18"/>
  <c r="Y197" i="18"/>
  <c r="Y198" i="18"/>
  <c r="Y199" i="18"/>
  <c r="Y200" i="18"/>
  <c r="Y201" i="18"/>
  <c r="U4" i="18"/>
  <c r="U5" i="18"/>
  <c r="U6" i="18"/>
  <c r="U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49" i="18"/>
  <c r="U50" i="18"/>
  <c r="U51" i="18"/>
  <c r="U52" i="18"/>
  <c r="U53" i="18"/>
  <c r="U54" i="18"/>
  <c r="U55" i="18"/>
  <c r="U56" i="18"/>
  <c r="U57" i="18"/>
  <c r="U58" i="18"/>
  <c r="U59" i="18"/>
  <c r="U60" i="18"/>
  <c r="U61" i="18"/>
  <c r="U62" i="18"/>
  <c r="U63" i="18"/>
  <c r="U64" i="18"/>
  <c r="U65" i="18"/>
  <c r="U66" i="18"/>
  <c r="U67" i="18"/>
  <c r="U68" i="18"/>
  <c r="U69" i="18"/>
  <c r="U70" i="18"/>
  <c r="U71" i="18"/>
  <c r="U72" i="18"/>
  <c r="U73" i="18"/>
  <c r="U74" i="18"/>
  <c r="U75" i="18"/>
  <c r="U76" i="18"/>
  <c r="U77" i="18"/>
  <c r="U78" i="18"/>
  <c r="U79" i="18"/>
  <c r="U80" i="18"/>
  <c r="U81" i="18"/>
  <c r="U82" i="18"/>
  <c r="U83" i="18"/>
  <c r="U84" i="18"/>
  <c r="U85" i="18"/>
  <c r="U86" i="18"/>
  <c r="U87" i="18"/>
  <c r="U88" i="18"/>
  <c r="U89" i="18"/>
  <c r="U90" i="18"/>
  <c r="U91" i="18"/>
  <c r="U92" i="18"/>
  <c r="U93" i="18"/>
  <c r="U94" i="18"/>
  <c r="U95" i="18"/>
  <c r="U96" i="18"/>
  <c r="U97" i="18"/>
  <c r="U98" i="18"/>
  <c r="U99" i="18"/>
  <c r="U100" i="18"/>
  <c r="U101" i="18"/>
  <c r="U102" i="18"/>
  <c r="U103" i="18"/>
  <c r="U104" i="18"/>
  <c r="U105" i="18"/>
  <c r="U106" i="18"/>
  <c r="U107" i="18"/>
  <c r="U108" i="18"/>
  <c r="U109" i="18"/>
  <c r="U110" i="18"/>
  <c r="U111" i="18"/>
  <c r="U112" i="18"/>
  <c r="U113" i="18"/>
  <c r="U114" i="18"/>
  <c r="U115" i="18"/>
  <c r="U116" i="18"/>
  <c r="U117" i="18"/>
  <c r="U118" i="18"/>
  <c r="U119" i="18"/>
  <c r="U120" i="18"/>
  <c r="U121" i="18"/>
  <c r="U122" i="18"/>
  <c r="U123" i="18"/>
  <c r="U124" i="18"/>
  <c r="U125" i="18"/>
  <c r="U126" i="18"/>
  <c r="U127" i="18"/>
  <c r="U128" i="18"/>
  <c r="U129" i="18"/>
  <c r="U130" i="18"/>
  <c r="U131" i="18"/>
  <c r="U132" i="18"/>
  <c r="U133" i="18"/>
  <c r="U134" i="18"/>
  <c r="U135" i="18"/>
  <c r="U136" i="18"/>
  <c r="U137" i="18"/>
  <c r="U138" i="18"/>
  <c r="U139" i="18"/>
  <c r="U140" i="18"/>
  <c r="U141" i="18"/>
  <c r="U142" i="18"/>
  <c r="U143" i="18"/>
  <c r="U144" i="18"/>
  <c r="U145" i="18"/>
  <c r="U146" i="18"/>
  <c r="U147" i="18"/>
  <c r="U148" i="18"/>
  <c r="U149" i="18"/>
  <c r="U150" i="18"/>
  <c r="U151" i="18"/>
  <c r="U152" i="18"/>
  <c r="U153" i="18"/>
  <c r="U154" i="18"/>
  <c r="U155" i="18"/>
  <c r="U156" i="18"/>
  <c r="U157" i="18"/>
  <c r="U158" i="18"/>
  <c r="U159" i="18"/>
  <c r="U160" i="18"/>
  <c r="U161" i="18"/>
  <c r="U162" i="18"/>
  <c r="U163" i="18"/>
  <c r="U164" i="18"/>
  <c r="U165" i="18"/>
  <c r="U166" i="18"/>
  <c r="U167" i="18"/>
  <c r="U168" i="18"/>
  <c r="U169" i="18"/>
  <c r="U170" i="18"/>
  <c r="U171" i="18"/>
  <c r="U172" i="18"/>
  <c r="U173" i="18"/>
  <c r="U174" i="18"/>
  <c r="U175" i="18"/>
  <c r="U176" i="18"/>
  <c r="U177" i="18"/>
  <c r="U178" i="18"/>
  <c r="U179" i="18"/>
  <c r="U180" i="18"/>
  <c r="U181" i="18"/>
  <c r="U182" i="18"/>
  <c r="U183" i="18"/>
  <c r="U184" i="18"/>
  <c r="U185" i="18"/>
  <c r="U186" i="18"/>
  <c r="U187" i="18"/>
  <c r="U188" i="18"/>
  <c r="U189" i="18"/>
  <c r="U190" i="18"/>
  <c r="U191" i="18"/>
  <c r="U192" i="18"/>
  <c r="U193" i="18"/>
  <c r="U194" i="18"/>
  <c r="U195" i="18"/>
  <c r="U196" i="18"/>
  <c r="U197" i="18"/>
  <c r="U198" i="18"/>
  <c r="U199" i="18"/>
  <c r="U200" i="18"/>
  <c r="U201" i="18"/>
  <c r="Q4" i="18"/>
  <c r="Q5" i="18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5" i="18"/>
  <c r="Q66" i="18"/>
  <c r="Q67" i="18"/>
  <c r="Q68" i="18"/>
  <c r="Q69" i="18"/>
  <c r="Q70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92" i="18"/>
  <c r="Q93" i="18"/>
  <c r="Q94" i="18"/>
  <c r="Q95" i="18"/>
  <c r="Q96" i="18"/>
  <c r="Q97" i="18"/>
  <c r="Q98" i="18"/>
  <c r="Q99" i="18"/>
  <c r="Q100" i="18"/>
  <c r="Q101" i="18"/>
  <c r="Q102" i="18"/>
  <c r="Q103" i="18"/>
  <c r="Q104" i="18"/>
  <c r="Q105" i="18"/>
  <c r="Q106" i="18"/>
  <c r="Q107" i="18"/>
  <c r="Q108" i="18"/>
  <c r="Q109" i="18"/>
  <c r="Q110" i="18"/>
  <c r="Q111" i="18"/>
  <c r="Q112" i="18"/>
  <c r="Q113" i="18"/>
  <c r="Q114" i="18"/>
  <c r="Q115" i="18"/>
  <c r="Q116" i="18"/>
  <c r="Q117" i="18"/>
  <c r="Q118" i="18"/>
  <c r="Q119" i="18"/>
  <c r="Q120" i="18"/>
  <c r="Q121" i="18"/>
  <c r="Q122" i="18"/>
  <c r="Q123" i="18"/>
  <c r="Q124" i="18"/>
  <c r="Q125" i="18"/>
  <c r="Q126" i="18"/>
  <c r="Q127" i="18"/>
  <c r="Q128" i="18"/>
  <c r="Q129" i="18"/>
  <c r="Q130" i="18"/>
  <c r="Q131" i="18"/>
  <c r="Q132" i="18"/>
  <c r="Q133" i="18"/>
  <c r="Q134" i="18"/>
  <c r="Q135" i="18"/>
  <c r="Q136" i="18"/>
  <c r="Q137" i="18"/>
  <c r="Q138" i="18"/>
  <c r="Q139" i="18"/>
  <c r="Q140" i="18"/>
  <c r="Q141" i="18"/>
  <c r="Q142" i="18"/>
  <c r="Q143" i="18"/>
  <c r="Q144" i="18"/>
  <c r="Q145" i="18"/>
  <c r="Q146" i="18"/>
  <c r="Q147" i="18"/>
  <c r="Q148" i="18"/>
  <c r="Q149" i="18"/>
  <c r="Q150" i="18"/>
  <c r="Q151" i="18"/>
  <c r="Q152" i="18"/>
  <c r="Q153" i="18"/>
  <c r="Q154" i="18"/>
  <c r="Q155" i="18"/>
  <c r="Q156" i="18"/>
  <c r="Q157" i="18"/>
  <c r="Q158" i="18"/>
  <c r="Q159" i="18"/>
  <c r="Q160" i="18"/>
  <c r="Q161" i="18"/>
  <c r="Q162" i="18"/>
  <c r="Q163" i="18"/>
  <c r="Q164" i="18"/>
  <c r="Q165" i="18"/>
  <c r="Q166" i="18"/>
  <c r="Q167" i="18"/>
  <c r="Q168" i="18"/>
  <c r="Q169" i="18"/>
  <c r="Q170" i="18"/>
  <c r="Q171" i="18"/>
  <c r="Q172" i="18"/>
  <c r="Q173" i="18"/>
  <c r="Q174" i="18"/>
  <c r="Q175" i="18"/>
  <c r="Q176" i="18"/>
  <c r="Q177" i="18"/>
  <c r="Q178" i="18"/>
  <c r="Q179" i="18"/>
  <c r="Q180" i="18"/>
  <c r="Q181" i="18"/>
  <c r="Q182" i="18"/>
  <c r="Q183" i="18"/>
  <c r="Q184" i="18"/>
  <c r="Q185" i="18"/>
  <c r="Q186" i="18"/>
  <c r="Q187" i="18"/>
  <c r="Q188" i="18"/>
  <c r="Q189" i="18"/>
  <c r="Q190" i="18"/>
  <c r="Q191" i="18"/>
  <c r="Q192" i="18"/>
  <c r="Q193" i="18"/>
  <c r="Q194" i="18"/>
  <c r="Q195" i="18"/>
  <c r="Q196" i="18"/>
  <c r="Q197" i="18"/>
  <c r="Q198" i="18"/>
  <c r="Q199" i="18"/>
  <c r="Q200" i="18"/>
  <c r="Q201" i="18"/>
  <c r="BG4" i="17"/>
  <c r="BG5" i="17"/>
  <c r="BG6" i="17"/>
  <c r="BG7" i="17"/>
  <c r="BG8" i="17"/>
  <c r="BG9" i="17"/>
  <c r="BG10" i="17"/>
  <c r="BG11" i="17"/>
  <c r="BG12" i="17"/>
  <c r="BG13" i="17"/>
  <c r="BG14" i="17"/>
  <c r="BG15" i="17"/>
  <c r="BG16" i="17"/>
  <c r="BG17" i="17"/>
  <c r="BG18" i="17"/>
  <c r="BG19" i="17"/>
  <c r="BG20" i="17"/>
  <c r="BG21" i="17"/>
  <c r="BG22" i="17"/>
  <c r="BG23" i="17"/>
  <c r="BG24" i="17"/>
  <c r="BG25" i="17"/>
  <c r="BG26" i="17"/>
  <c r="BG27" i="17"/>
  <c r="BG28" i="17"/>
  <c r="BG29" i="17"/>
  <c r="BG30" i="17"/>
  <c r="BG31" i="17"/>
  <c r="BG32" i="17"/>
  <c r="BG33" i="17"/>
  <c r="BG34" i="17"/>
  <c r="BG35" i="17"/>
  <c r="BG36" i="17"/>
  <c r="BG37" i="17"/>
  <c r="BG38" i="17"/>
  <c r="BG39" i="17"/>
  <c r="BG40" i="17"/>
  <c r="BG41" i="17"/>
  <c r="BG42" i="17"/>
  <c r="BG43" i="17"/>
  <c r="BG44" i="17"/>
  <c r="BG45" i="17"/>
  <c r="BG46" i="17"/>
  <c r="BG47" i="17"/>
  <c r="BG48" i="17"/>
  <c r="BG49" i="17"/>
  <c r="BG50" i="17"/>
  <c r="BG51" i="17"/>
  <c r="BG52" i="17"/>
  <c r="BG53" i="17"/>
  <c r="BG54" i="17"/>
  <c r="BG55" i="17"/>
  <c r="BG56" i="17"/>
  <c r="BG57" i="17"/>
  <c r="BG58" i="17"/>
  <c r="BG59" i="17"/>
  <c r="BG60" i="17"/>
  <c r="BG61" i="17"/>
  <c r="BG62" i="17"/>
  <c r="BG63" i="17"/>
  <c r="BG64" i="17"/>
  <c r="BG65" i="17"/>
  <c r="BG66" i="17"/>
  <c r="BG67" i="17"/>
  <c r="BG68" i="17"/>
  <c r="BG69" i="17"/>
  <c r="BG70" i="17"/>
  <c r="BG71" i="17"/>
  <c r="BG72" i="17"/>
  <c r="BG73" i="17"/>
  <c r="BG74" i="17"/>
  <c r="BG75" i="17"/>
  <c r="BG76" i="17"/>
  <c r="BG77" i="17"/>
  <c r="BG78" i="17"/>
  <c r="BG79" i="17"/>
  <c r="BG80" i="17"/>
  <c r="BG81" i="17"/>
  <c r="BG82" i="17"/>
  <c r="BG83" i="17"/>
  <c r="BG84" i="17"/>
  <c r="BG85" i="17"/>
  <c r="BG86" i="17"/>
  <c r="BG87" i="17"/>
  <c r="BG88" i="17"/>
  <c r="BG89" i="17"/>
  <c r="BG90" i="17"/>
  <c r="BG91" i="17"/>
  <c r="BG92" i="17"/>
  <c r="BG93" i="17"/>
  <c r="BG94" i="17"/>
  <c r="BG95" i="17"/>
  <c r="BG96" i="17"/>
  <c r="BG97" i="17"/>
  <c r="BG98" i="17"/>
  <c r="BG99" i="17"/>
  <c r="BG100" i="17"/>
  <c r="BG101" i="17"/>
  <c r="BG102" i="17"/>
  <c r="BG103" i="17"/>
  <c r="BG104" i="17"/>
  <c r="BG105" i="17"/>
  <c r="BG106" i="17"/>
  <c r="BG107" i="17"/>
  <c r="BG108" i="17"/>
  <c r="BG109" i="17"/>
  <c r="BG110" i="17"/>
  <c r="BG111" i="17"/>
  <c r="BG112" i="17"/>
  <c r="BG113" i="17"/>
  <c r="BG114" i="17"/>
  <c r="BG115" i="17"/>
  <c r="BG116" i="17"/>
  <c r="BG117" i="17"/>
  <c r="BG118" i="17"/>
  <c r="BG119" i="17"/>
  <c r="BG120" i="17"/>
  <c r="BG121" i="17"/>
  <c r="BG122" i="17"/>
  <c r="BG123" i="17"/>
  <c r="BG124" i="17"/>
  <c r="BG125" i="17"/>
  <c r="BG126" i="17"/>
  <c r="BG127" i="17"/>
  <c r="BG128" i="17"/>
  <c r="BG129" i="17"/>
  <c r="BG130" i="17"/>
  <c r="BG131" i="17"/>
  <c r="BG132" i="17"/>
  <c r="BG133" i="17"/>
  <c r="BG134" i="17"/>
  <c r="BG135" i="17"/>
  <c r="BG136" i="17"/>
  <c r="BG137" i="17"/>
  <c r="BG138" i="17"/>
  <c r="BG139" i="17"/>
  <c r="BG140" i="17"/>
  <c r="BG141" i="17"/>
  <c r="BG142" i="17"/>
  <c r="BG143" i="17"/>
  <c r="BG144" i="17"/>
  <c r="BG145" i="17"/>
  <c r="BG146" i="17"/>
  <c r="BG147" i="17"/>
  <c r="BG148" i="17"/>
  <c r="BG149" i="17"/>
  <c r="BG150" i="17"/>
  <c r="BG151" i="17"/>
  <c r="BG152" i="17"/>
  <c r="BG153" i="17"/>
  <c r="BG154" i="17"/>
  <c r="BG155" i="17"/>
  <c r="BG156" i="17"/>
  <c r="BG157" i="17"/>
  <c r="BG158" i="17"/>
  <c r="BG159" i="17"/>
  <c r="BG160" i="17"/>
  <c r="BG161" i="17"/>
  <c r="BG162" i="17"/>
  <c r="BG163" i="17"/>
  <c r="BG164" i="17"/>
  <c r="BG165" i="17"/>
  <c r="BG166" i="17"/>
  <c r="BG167" i="17"/>
  <c r="BG168" i="17"/>
  <c r="BG169" i="17"/>
  <c r="BG170" i="17"/>
  <c r="BG171" i="17"/>
  <c r="BG172" i="17"/>
  <c r="BG173" i="17"/>
  <c r="BG174" i="17"/>
  <c r="BG175" i="17"/>
  <c r="BG176" i="17"/>
  <c r="BG177" i="17"/>
  <c r="BG178" i="17"/>
  <c r="BG179" i="17"/>
  <c r="BG180" i="17"/>
  <c r="BG181" i="17"/>
  <c r="BG182" i="17"/>
  <c r="BG183" i="17"/>
  <c r="BG184" i="17"/>
  <c r="BG185" i="17"/>
  <c r="BG186" i="17"/>
  <c r="BG187" i="17"/>
  <c r="BG188" i="17"/>
  <c r="BG189" i="17"/>
  <c r="BG190" i="17"/>
  <c r="BG191" i="17"/>
  <c r="BG192" i="17"/>
  <c r="BG193" i="17"/>
  <c r="BG194" i="17"/>
  <c r="BG195" i="17"/>
  <c r="BG196" i="17"/>
  <c r="BG197" i="17"/>
  <c r="BG198" i="17"/>
  <c r="BG199" i="17"/>
  <c r="BG200" i="17"/>
  <c r="BG201" i="17"/>
  <c r="BC4" i="17"/>
  <c r="BC5" i="17"/>
  <c r="BC6" i="17"/>
  <c r="BC7" i="17"/>
  <c r="BC8" i="17"/>
  <c r="BC9" i="17"/>
  <c r="BC10" i="17"/>
  <c r="BC11" i="17"/>
  <c r="BC12" i="17"/>
  <c r="BC13" i="17"/>
  <c r="BC14" i="17"/>
  <c r="BC15" i="17"/>
  <c r="BC16" i="17"/>
  <c r="BC17" i="17"/>
  <c r="BC18" i="17"/>
  <c r="BC19" i="17"/>
  <c r="BC20" i="17"/>
  <c r="BC21" i="17"/>
  <c r="BC22" i="17"/>
  <c r="BC23" i="17"/>
  <c r="BC24" i="17"/>
  <c r="BC25" i="17"/>
  <c r="BC26" i="17"/>
  <c r="BC27" i="17"/>
  <c r="BC28" i="17"/>
  <c r="BC29" i="17"/>
  <c r="BC30" i="17"/>
  <c r="BC31" i="17"/>
  <c r="BC32" i="17"/>
  <c r="BC33" i="17"/>
  <c r="BC34" i="17"/>
  <c r="BC35" i="17"/>
  <c r="BC36" i="17"/>
  <c r="BC37" i="17"/>
  <c r="BC38" i="17"/>
  <c r="BC39" i="17"/>
  <c r="BC40" i="17"/>
  <c r="BC41" i="17"/>
  <c r="BC42" i="17"/>
  <c r="BC43" i="17"/>
  <c r="BC44" i="17"/>
  <c r="BC45" i="17"/>
  <c r="BC46" i="17"/>
  <c r="BC47" i="17"/>
  <c r="BC48" i="17"/>
  <c r="BC49" i="17"/>
  <c r="BC50" i="17"/>
  <c r="BC51" i="17"/>
  <c r="BC52" i="17"/>
  <c r="BC53" i="17"/>
  <c r="BC54" i="17"/>
  <c r="BC55" i="17"/>
  <c r="BC56" i="17"/>
  <c r="BC57" i="17"/>
  <c r="BC58" i="17"/>
  <c r="BC59" i="17"/>
  <c r="BC60" i="17"/>
  <c r="BC61" i="17"/>
  <c r="BC62" i="17"/>
  <c r="BC63" i="17"/>
  <c r="BC64" i="17"/>
  <c r="BC65" i="17"/>
  <c r="BC66" i="17"/>
  <c r="BC67" i="17"/>
  <c r="BC68" i="17"/>
  <c r="BC69" i="17"/>
  <c r="BC70" i="17"/>
  <c r="BC71" i="17"/>
  <c r="BC72" i="17"/>
  <c r="BC73" i="17"/>
  <c r="BC74" i="17"/>
  <c r="BC75" i="17"/>
  <c r="BC76" i="17"/>
  <c r="BC77" i="17"/>
  <c r="BC78" i="17"/>
  <c r="BC79" i="17"/>
  <c r="BC80" i="17"/>
  <c r="BC81" i="17"/>
  <c r="BC82" i="17"/>
  <c r="BC83" i="17"/>
  <c r="BC84" i="17"/>
  <c r="BC85" i="17"/>
  <c r="BC86" i="17"/>
  <c r="BC87" i="17"/>
  <c r="BC88" i="17"/>
  <c r="BC89" i="17"/>
  <c r="BC90" i="17"/>
  <c r="BC91" i="17"/>
  <c r="BC92" i="17"/>
  <c r="BC93" i="17"/>
  <c r="BC94" i="17"/>
  <c r="BC95" i="17"/>
  <c r="BC96" i="17"/>
  <c r="BC97" i="17"/>
  <c r="BC98" i="17"/>
  <c r="BC99" i="17"/>
  <c r="BC100" i="17"/>
  <c r="BC101" i="17"/>
  <c r="BC102" i="17"/>
  <c r="BC103" i="17"/>
  <c r="BC104" i="17"/>
  <c r="BC105" i="17"/>
  <c r="BC106" i="17"/>
  <c r="BC107" i="17"/>
  <c r="BC108" i="17"/>
  <c r="BC109" i="17"/>
  <c r="BC110" i="17"/>
  <c r="BC111" i="17"/>
  <c r="BC112" i="17"/>
  <c r="BC113" i="17"/>
  <c r="BC114" i="17"/>
  <c r="BC115" i="17"/>
  <c r="BC116" i="17"/>
  <c r="BC117" i="17"/>
  <c r="BC118" i="17"/>
  <c r="BC119" i="17"/>
  <c r="BC120" i="17"/>
  <c r="BC121" i="17"/>
  <c r="BC122" i="17"/>
  <c r="BC123" i="17"/>
  <c r="BC124" i="17"/>
  <c r="BC125" i="17"/>
  <c r="BC126" i="17"/>
  <c r="BC127" i="17"/>
  <c r="BC128" i="17"/>
  <c r="BC129" i="17"/>
  <c r="BC130" i="17"/>
  <c r="BC131" i="17"/>
  <c r="BC132" i="17"/>
  <c r="BC133" i="17"/>
  <c r="BC134" i="17"/>
  <c r="BC135" i="17"/>
  <c r="BC136" i="17"/>
  <c r="BC137" i="17"/>
  <c r="BC138" i="17"/>
  <c r="BC139" i="17"/>
  <c r="BC140" i="17"/>
  <c r="BC141" i="17"/>
  <c r="BC142" i="17"/>
  <c r="BC143" i="17"/>
  <c r="BC144" i="17"/>
  <c r="BC145" i="17"/>
  <c r="BC146" i="17"/>
  <c r="BC147" i="17"/>
  <c r="BC148" i="17"/>
  <c r="BC149" i="17"/>
  <c r="BC150" i="17"/>
  <c r="BC151" i="17"/>
  <c r="BC152" i="17"/>
  <c r="BC153" i="17"/>
  <c r="BC154" i="17"/>
  <c r="BC155" i="17"/>
  <c r="BC156" i="17"/>
  <c r="BC157" i="17"/>
  <c r="BC158" i="17"/>
  <c r="BC159" i="17"/>
  <c r="BC160" i="17"/>
  <c r="BC161" i="17"/>
  <c r="BC162" i="17"/>
  <c r="BC163" i="17"/>
  <c r="BC164" i="17"/>
  <c r="BC165" i="17"/>
  <c r="BC166" i="17"/>
  <c r="BC167" i="17"/>
  <c r="BC168" i="17"/>
  <c r="BC169" i="17"/>
  <c r="BC170" i="17"/>
  <c r="BC171" i="17"/>
  <c r="BC172" i="17"/>
  <c r="BC173" i="17"/>
  <c r="BC174" i="17"/>
  <c r="BC175" i="17"/>
  <c r="BC176" i="17"/>
  <c r="BC177" i="17"/>
  <c r="BC178" i="17"/>
  <c r="BC179" i="17"/>
  <c r="BC180" i="17"/>
  <c r="BC181" i="17"/>
  <c r="BC182" i="17"/>
  <c r="BC183" i="17"/>
  <c r="BC184" i="17"/>
  <c r="BC185" i="17"/>
  <c r="BC186" i="17"/>
  <c r="BC187" i="17"/>
  <c r="BC188" i="17"/>
  <c r="BC189" i="17"/>
  <c r="BC190" i="17"/>
  <c r="BC191" i="17"/>
  <c r="BC192" i="17"/>
  <c r="BC193" i="17"/>
  <c r="BC194" i="17"/>
  <c r="BC195" i="17"/>
  <c r="BC196" i="17"/>
  <c r="BC197" i="17"/>
  <c r="BC198" i="17"/>
  <c r="BC199" i="17"/>
  <c r="BC200" i="17"/>
  <c r="BC201" i="17"/>
  <c r="AY4" i="17"/>
  <c r="AY5" i="17"/>
  <c r="AY6" i="17"/>
  <c r="AY7" i="17"/>
  <c r="AY8" i="17"/>
  <c r="AY9" i="17"/>
  <c r="AY10" i="17"/>
  <c r="AY11" i="17"/>
  <c r="AY12" i="17"/>
  <c r="AY13" i="17"/>
  <c r="AY14" i="17"/>
  <c r="AY15" i="17"/>
  <c r="AY16" i="17"/>
  <c r="AY17" i="17"/>
  <c r="AY18" i="17"/>
  <c r="AY19" i="17"/>
  <c r="AY20" i="17"/>
  <c r="AY21" i="17"/>
  <c r="AY22" i="17"/>
  <c r="AY23" i="17"/>
  <c r="AY24" i="17"/>
  <c r="AY25" i="17"/>
  <c r="AY26" i="17"/>
  <c r="AY27" i="17"/>
  <c r="AY28" i="17"/>
  <c r="AY29" i="17"/>
  <c r="AY30" i="17"/>
  <c r="AY31" i="17"/>
  <c r="AY32" i="17"/>
  <c r="AY33" i="17"/>
  <c r="AY34" i="17"/>
  <c r="AY35" i="17"/>
  <c r="AY36" i="17"/>
  <c r="AY37" i="17"/>
  <c r="AY38" i="17"/>
  <c r="AY39" i="17"/>
  <c r="AY40" i="17"/>
  <c r="AY41" i="17"/>
  <c r="AY42" i="17"/>
  <c r="AY43" i="17"/>
  <c r="AY44" i="17"/>
  <c r="AY45" i="17"/>
  <c r="AY46" i="17"/>
  <c r="AY47" i="17"/>
  <c r="AY48" i="17"/>
  <c r="AY49" i="17"/>
  <c r="AY50" i="17"/>
  <c r="AY51" i="17"/>
  <c r="AY52" i="17"/>
  <c r="AY53" i="17"/>
  <c r="AY54" i="17"/>
  <c r="AY55" i="17"/>
  <c r="AY56" i="17"/>
  <c r="AY57" i="17"/>
  <c r="AY58" i="17"/>
  <c r="AY59" i="17"/>
  <c r="AY60" i="17"/>
  <c r="AY61" i="17"/>
  <c r="AY62" i="17"/>
  <c r="AY63" i="17"/>
  <c r="AY64" i="17"/>
  <c r="AY65" i="17"/>
  <c r="AY66" i="17"/>
  <c r="AY67" i="17"/>
  <c r="AY68" i="17"/>
  <c r="AY69" i="17"/>
  <c r="AY70" i="17"/>
  <c r="AY71" i="17"/>
  <c r="AY72" i="17"/>
  <c r="AY73" i="17"/>
  <c r="AY74" i="17"/>
  <c r="AY75" i="17"/>
  <c r="AY76" i="17"/>
  <c r="AY77" i="17"/>
  <c r="AY78" i="17"/>
  <c r="AY79" i="17"/>
  <c r="AY80" i="17"/>
  <c r="AY81" i="17"/>
  <c r="AY82" i="17"/>
  <c r="AY83" i="17"/>
  <c r="AY84" i="17"/>
  <c r="AY85" i="17"/>
  <c r="AY86" i="17"/>
  <c r="AY87" i="17"/>
  <c r="AY88" i="17"/>
  <c r="AY89" i="17"/>
  <c r="AY90" i="17"/>
  <c r="AY91" i="17"/>
  <c r="AY92" i="17"/>
  <c r="AY93" i="17"/>
  <c r="AY94" i="17"/>
  <c r="AY95" i="17"/>
  <c r="AY96" i="17"/>
  <c r="AY97" i="17"/>
  <c r="AY98" i="17"/>
  <c r="AY99" i="17"/>
  <c r="AY100" i="17"/>
  <c r="AY101" i="17"/>
  <c r="AY102" i="17"/>
  <c r="AY103" i="17"/>
  <c r="AY104" i="17"/>
  <c r="AY105" i="17"/>
  <c r="AY106" i="17"/>
  <c r="AY107" i="17"/>
  <c r="AY108" i="17"/>
  <c r="AY109" i="17"/>
  <c r="AY110" i="17"/>
  <c r="AY111" i="17"/>
  <c r="AY112" i="17"/>
  <c r="AY113" i="17"/>
  <c r="AY114" i="17"/>
  <c r="AY115" i="17"/>
  <c r="AY116" i="17"/>
  <c r="AY117" i="17"/>
  <c r="AY118" i="17"/>
  <c r="AY119" i="17"/>
  <c r="AY120" i="17"/>
  <c r="AY121" i="17"/>
  <c r="AY122" i="17"/>
  <c r="AY123" i="17"/>
  <c r="AY124" i="17"/>
  <c r="AY125" i="17"/>
  <c r="AY126" i="17"/>
  <c r="AY127" i="17"/>
  <c r="AY128" i="17"/>
  <c r="AY129" i="17"/>
  <c r="AY130" i="17"/>
  <c r="AY131" i="17"/>
  <c r="AY132" i="17"/>
  <c r="AY133" i="17"/>
  <c r="AY134" i="17"/>
  <c r="AY135" i="17"/>
  <c r="AY136" i="17"/>
  <c r="AY137" i="17"/>
  <c r="AY138" i="17"/>
  <c r="AY139" i="17"/>
  <c r="AY140" i="17"/>
  <c r="AY141" i="17"/>
  <c r="AY142" i="17"/>
  <c r="AY143" i="17"/>
  <c r="AY144" i="17"/>
  <c r="AY145" i="17"/>
  <c r="AY146" i="17"/>
  <c r="AY147" i="17"/>
  <c r="AY148" i="17"/>
  <c r="AY149" i="17"/>
  <c r="AY150" i="17"/>
  <c r="AY151" i="17"/>
  <c r="AY152" i="17"/>
  <c r="AY153" i="17"/>
  <c r="AY154" i="17"/>
  <c r="AY155" i="17"/>
  <c r="AY156" i="17"/>
  <c r="AY157" i="17"/>
  <c r="AY158" i="17"/>
  <c r="AY159" i="17"/>
  <c r="AY160" i="17"/>
  <c r="AY161" i="17"/>
  <c r="AY162" i="17"/>
  <c r="AY163" i="17"/>
  <c r="AY164" i="17"/>
  <c r="AY165" i="17"/>
  <c r="AY166" i="17"/>
  <c r="AY167" i="17"/>
  <c r="AY168" i="17"/>
  <c r="AY169" i="17"/>
  <c r="AY170" i="17"/>
  <c r="AY171" i="17"/>
  <c r="AY172" i="17"/>
  <c r="AY173" i="17"/>
  <c r="AY174" i="17"/>
  <c r="AY175" i="17"/>
  <c r="AY176" i="17"/>
  <c r="AY177" i="17"/>
  <c r="AY178" i="17"/>
  <c r="AY179" i="17"/>
  <c r="AY180" i="17"/>
  <c r="AY181" i="17"/>
  <c r="AY182" i="17"/>
  <c r="AY183" i="17"/>
  <c r="AY184" i="17"/>
  <c r="AY185" i="17"/>
  <c r="AY186" i="17"/>
  <c r="AY187" i="17"/>
  <c r="AY188" i="17"/>
  <c r="AY189" i="17"/>
  <c r="AY190" i="17"/>
  <c r="AY191" i="17"/>
  <c r="AY192" i="17"/>
  <c r="AY193" i="17"/>
  <c r="AY194" i="17"/>
  <c r="AY195" i="17"/>
  <c r="AY196" i="17"/>
  <c r="AY197" i="17"/>
  <c r="AY198" i="17"/>
  <c r="AY199" i="17"/>
  <c r="AY200" i="17"/>
  <c r="AY201" i="17"/>
  <c r="AP4" i="17"/>
  <c r="AP5" i="17"/>
  <c r="AP6" i="17"/>
  <c r="AP7" i="17"/>
  <c r="AP8" i="17"/>
  <c r="AP9" i="17"/>
  <c r="AP10" i="17"/>
  <c r="AP11" i="17"/>
  <c r="AP12" i="17"/>
  <c r="AP13" i="17"/>
  <c r="AP14" i="17"/>
  <c r="AP15" i="17"/>
  <c r="AP16" i="17"/>
  <c r="AP17" i="17"/>
  <c r="AP18" i="17"/>
  <c r="AP19" i="17"/>
  <c r="AP20" i="17"/>
  <c r="AP21" i="17"/>
  <c r="AP22" i="17"/>
  <c r="AP23" i="17"/>
  <c r="AP24" i="17"/>
  <c r="AP25" i="17"/>
  <c r="AP26" i="17"/>
  <c r="AP27" i="17"/>
  <c r="AP28" i="17"/>
  <c r="AP29" i="17"/>
  <c r="AP30" i="17"/>
  <c r="AP31" i="17"/>
  <c r="AP32" i="17"/>
  <c r="AP33" i="17"/>
  <c r="AP34" i="17"/>
  <c r="AP35" i="17"/>
  <c r="AP36" i="17"/>
  <c r="AP37" i="17"/>
  <c r="AP38" i="17"/>
  <c r="AP39" i="17"/>
  <c r="AP40" i="17"/>
  <c r="AP41" i="17"/>
  <c r="AP42" i="17"/>
  <c r="AP43" i="17"/>
  <c r="AP44" i="17"/>
  <c r="AP45" i="17"/>
  <c r="AP46" i="17"/>
  <c r="AP47" i="17"/>
  <c r="AP48" i="17"/>
  <c r="AP49" i="17"/>
  <c r="AP50" i="17"/>
  <c r="AP51" i="17"/>
  <c r="AP52" i="17"/>
  <c r="AP53" i="17"/>
  <c r="AP54" i="17"/>
  <c r="AP55" i="17"/>
  <c r="AP56" i="17"/>
  <c r="AP57" i="17"/>
  <c r="AP58" i="17"/>
  <c r="AP59" i="17"/>
  <c r="AP60" i="17"/>
  <c r="AP61" i="17"/>
  <c r="AP62" i="17"/>
  <c r="AP63" i="17"/>
  <c r="AP64" i="17"/>
  <c r="AP65" i="17"/>
  <c r="AP66" i="17"/>
  <c r="AP67" i="17"/>
  <c r="AP68" i="17"/>
  <c r="AP69" i="17"/>
  <c r="AP70" i="17"/>
  <c r="AP71" i="17"/>
  <c r="AP72" i="17"/>
  <c r="AP73" i="17"/>
  <c r="AP74" i="17"/>
  <c r="AP75" i="17"/>
  <c r="AP76" i="17"/>
  <c r="AP77" i="17"/>
  <c r="AP78" i="17"/>
  <c r="AP79" i="17"/>
  <c r="AP80" i="17"/>
  <c r="AP81" i="17"/>
  <c r="AP82" i="17"/>
  <c r="AP83" i="17"/>
  <c r="AP84" i="17"/>
  <c r="AP85" i="17"/>
  <c r="AP86" i="17"/>
  <c r="AP87" i="17"/>
  <c r="AP88" i="17"/>
  <c r="AP89" i="17"/>
  <c r="AP90" i="17"/>
  <c r="AP91" i="17"/>
  <c r="AP92" i="17"/>
  <c r="AP93" i="17"/>
  <c r="AP94" i="17"/>
  <c r="AP95" i="17"/>
  <c r="AP96" i="17"/>
  <c r="AP97" i="17"/>
  <c r="AP98" i="17"/>
  <c r="AP99" i="17"/>
  <c r="AP100" i="17"/>
  <c r="AP101" i="17"/>
  <c r="AP102" i="17"/>
  <c r="AP103" i="17"/>
  <c r="AP104" i="17"/>
  <c r="AP105" i="17"/>
  <c r="AP106" i="17"/>
  <c r="AP107" i="17"/>
  <c r="AP108" i="17"/>
  <c r="AP109" i="17"/>
  <c r="AP110" i="17"/>
  <c r="AP111" i="17"/>
  <c r="AP112" i="17"/>
  <c r="AP113" i="17"/>
  <c r="AP114" i="17"/>
  <c r="AP115" i="17"/>
  <c r="AP116" i="17"/>
  <c r="AP117" i="17"/>
  <c r="AP118" i="17"/>
  <c r="AP119" i="17"/>
  <c r="AP120" i="17"/>
  <c r="AP121" i="17"/>
  <c r="AP122" i="17"/>
  <c r="AP123" i="17"/>
  <c r="AP124" i="17"/>
  <c r="AP125" i="17"/>
  <c r="AP126" i="17"/>
  <c r="AP127" i="17"/>
  <c r="AP128" i="17"/>
  <c r="AP129" i="17"/>
  <c r="AP130" i="17"/>
  <c r="AP131" i="17"/>
  <c r="AP132" i="17"/>
  <c r="AP133" i="17"/>
  <c r="AP134" i="17"/>
  <c r="AP135" i="17"/>
  <c r="AP136" i="17"/>
  <c r="AP137" i="17"/>
  <c r="AP138" i="17"/>
  <c r="AP139" i="17"/>
  <c r="AP140" i="17"/>
  <c r="AP141" i="17"/>
  <c r="AP142" i="17"/>
  <c r="AP143" i="17"/>
  <c r="AP144" i="17"/>
  <c r="AP145" i="17"/>
  <c r="AP146" i="17"/>
  <c r="AP147" i="17"/>
  <c r="AP148" i="17"/>
  <c r="AP149" i="17"/>
  <c r="AP150" i="17"/>
  <c r="AP151" i="17"/>
  <c r="AP152" i="17"/>
  <c r="AP153" i="17"/>
  <c r="AP154" i="17"/>
  <c r="AP155" i="17"/>
  <c r="AP156" i="17"/>
  <c r="AP157" i="17"/>
  <c r="AP158" i="17"/>
  <c r="AP159" i="17"/>
  <c r="AP160" i="17"/>
  <c r="AP161" i="17"/>
  <c r="AP162" i="17"/>
  <c r="AP163" i="17"/>
  <c r="AP164" i="17"/>
  <c r="AP165" i="17"/>
  <c r="AP166" i="17"/>
  <c r="AP167" i="17"/>
  <c r="AP168" i="17"/>
  <c r="AP169" i="17"/>
  <c r="AP170" i="17"/>
  <c r="AP171" i="17"/>
  <c r="AP172" i="17"/>
  <c r="AP173" i="17"/>
  <c r="AP174" i="17"/>
  <c r="AP175" i="17"/>
  <c r="AP176" i="17"/>
  <c r="AP177" i="17"/>
  <c r="AP178" i="17"/>
  <c r="AP179" i="17"/>
  <c r="AP180" i="17"/>
  <c r="AP181" i="17"/>
  <c r="AP182" i="17"/>
  <c r="AP183" i="17"/>
  <c r="AP184" i="17"/>
  <c r="AP185" i="17"/>
  <c r="AP186" i="17"/>
  <c r="AP187" i="17"/>
  <c r="AP188" i="17"/>
  <c r="AP189" i="17"/>
  <c r="AP190" i="17"/>
  <c r="AP191" i="17"/>
  <c r="AP192" i="17"/>
  <c r="AP193" i="17"/>
  <c r="AP194" i="17"/>
  <c r="AP195" i="17"/>
  <c r="AP196" i="17"/>
  <c r="AP197" i="17"/>
  <c r="AP198" i="17"/>
  <c r="AP199" i="17"/>
  <c r="AP200" i="17"/>
  <c r="AP201" i="17"/>
  <c r="AL4" i="17"/>
  <c r="AL5" i="17"/>
  <c r="AL6" i="17"/>
  <c r="AL7" i="17"/>
  <c r="AL8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3" i="17"/>
  <c r="AL24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2" i="17"/>
  <c r="AL53" i="17"/>
  <c r="AL54" i="17"/>
  <c r="AL55" i="17"/>
  <c r="AL56" i="17"/>
  <c r="AL57" i="17"/>
  <c r="AL58" i="17"/>
  <c r="AL59" i="17"/>
  <c r="AL60" i="17"/>
  <c r="AL61" i="17"/>
  <c r="AL62" i="17"/>
  <c r="AL63" i="17"/>
  <c r="AL64" i="17"/>
  <c r="AL65" i="17"/>
  <c r="AL66" i="17"/>
  <c r="AL67" i="17"/>
  <c r="AL68" i="17"/>
  <c r="AL69" i="17"/>
  <c r="AL70" i="17"/>
  <c r="AL71" i="17"/>
  <c r="AL72" i="17"/>
  <c r="AL73" i="17"/>
  <c r="AL74" i="17"/>
  <c r="AL75" i="17"/>
  <c r="AL76" i="17"/>
  <c r="AL77" i="17"/>
  <c r="AL78" i="17"/>
  <c r="AL79" i="17"/>
  <c r="AL80" i="17"/>
  <c r="AL81" i="17"/>
  <c r="AL82" i="17"/>
  <c r="AL83" i="17"/>
  <c r="AL84" i="17"/>
  <c r="AL85" i="17"/>
  <c r="AL86" i="17"/>
  <c r="AL87" i="17"/>
  <c r="AL88" i="17"/>
  <c r="AL89" i="17"/>
  <c r="AL90" i="17"/>
  <c r="AL91" i="17"/>
  <c r="AL92" i="17"/>
  <c r="AL93" i="17"/>
  <c r="AL94" i="17"/>
  <c r="AL95" i="17"/>
  <c r="AL96" i="17"/>
  <c r="AL97" i="17"/>
  <c r="AL98" i="17"/>
  <c r="AL99" i="17"/>
  <c r="AL100" i="17"/>
  <c r="AL101" i="17"/>
  <c r="AL102" i="17"/>
  <c r="AL103" i="17"/>
  <c r="AL104" i="17"/>
  <c r="AL105" i="17"/>
  <c r="AL106" i="17"/>
  <c r="AL107" i="17"/>
  <c r="AL108" i="17"/>
  <c r="AL109" i="17"/>
  <c r="AL110" i="17"/>
  <c r="AL111" i="17"/>
  <c r="AL112" i="17"/>
  <c r="AL113" i="17"/>
  <c r="AL114" i="17"/>
  <c r="AL115" i="17"/>
  <c r="AL116" i="17"/>
  <c r="AL117" i="17"/>
  <c r="AL118" i="17"/>
  <c r="AL119" i="17"/>
  <c r="AL120" i="17"/>
  <c r="AL121" i="17"/>
  <c r="AL122" i="17"/>
  <c r="AL123" i="17"/>
  <c r="AL124" i="17"/>
  <c r="AL125" i="17"/>
  <c r="AL126" i="17"/>
  <c r="AL127" i="17"/>
  <c r="AL128" i="17"/>
  <c r="AL129" i="17"/>
  <c r="AL130" i="17"/>
  <c r="AL131" i="17"/>
  <c r="AL132" i="17"/>
  <c r="AL133" i="17"/>
  <c r="AL134" i="17"/>
  <c r="AL135" i="17"/>
  <c r="AL136" i="17"/>
  <c r="AL137" i="17"/>
  <c r="AL138" i="17"/>
  <c r="AL139" i="17"/>
  <c r="AL140" i="17"/>
  <c r="AL141" i="17"/>
  <c r="AL142" i="17"/>
  <c r="AL143" i="17"/>
  <c r="AL144" i="17"/>
  <c r="AL145" i="17"/>
  <c r="AL146" i="17"/>
  <c r="AL147" i="17"/>
  <c r="AL148" i="17"/>
  <c r="AL149" i="17"/>
  <c r="AL150" i="17"/>
  <c r="AL151" i="17"/>
  <c r="AL152" i="17"/>
  <c r="AL153" i="17"/>
  <c r="AL154" i="17"/>
  <c r="AL155" i="17"/>
  <c r="AL156" i="17"/>
  <c r="AL157" i="17"/>
  <c r="AL158" i="17"/>
  <c r="AL159" i="17"/>
  <c r="AL160" i="17"/>
  <c r="AL161" i="17"/>
  <c r="AL162" i="17"/>
  <c r="AL163" i="17"/>
  <c r="AL164" i="17"/>
  <c r="AL165" i="17"/>
  <c r="AL166" i="17"/>
  <c r="AL167" i="17"/>
  <c r="AL168" i="17"/>
  <c r="AL169" i="17"/>
  <c r="AL170" i="17"/>
  <c r="AL171" i="17"/>
  <c r="AL172" i="17"/>
  <c r="AL173" i="17"/>
  <c r="AL174" i="17"/>
  <c r="AL175" i="17"/>
  <c r="AL176" i="17"/>
  <c r="AL177" i="17"/>
  <c r="AL178" i="17"/>
  <c r="AL179" i="17"/>
  <c r="AL180" i="17"/>
  <c r="AL181" i="17"/>
  <c r="AL182" i="17"/>
  <c r="AL183" i="17"/>
  <c r="AL184" i="17"/>
  <c r="AL185" i="17"/>
  <c r="AL186" i="17"/>
  <c r="AL187" i="17"/>
  <c r="AL188" i="17"/>
  <c r="AL189" i="17"/>
  <c r="AL190" i="17"/>
  <c r="AL191" i="17"/>
  <c r="AL192" i="17"/>
  <c r="AL193" i="17"/>
  <c r="AL194" i="17"/>
  <c r="AL195" i="17"/>
  <c r="AL196" i="17"/>
  <c r="AL197" i="17"/>
  <c r="AL198" i="17"/>
  <c r="AL199" i="17"/>
  <c r="AL200" i="17"/>
  <c r="AL201" i="17"/>
  <c r="AH4" i="17"/>
  <c r="AH5" i="17"/>
  <c r="AH6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56" i="17"/>
  <c r="AH57" i="17"/>
  <c r="AH58" i="17"/>
  <c r="AH59" i="17"/>
  <c r="AH60" i="17"/>
  <c r="AH61" i="17"/>
  <c r="AH62" i="17"/>
  <c r="AH63" i="17"/>
  <c r="AH64" i="17"/>
  <c r="AH65" i="17"/>
  <c r="AH66" i="17"/>
  <c r="AH67" i="17"/>
  <c r="AH68" i="17"/>
  <c r="AH69" i="17"/>
  <c r="AH70" i="17"/>
  <c r="AH71" i="17"/>
  <c r="AH72" i="17"/>
  <c r="AH73" i="17"/>
  <c r="AH74" i="17"/>
  <c r="AH75" i="17"/>
  <c r="AH76" i="17"/>
  <c r="AH77" i="17"/>
  <c r="AH78" i="17"/>
  <c r="AH79" i="17"/>
  <c r="AH80" i="17"/>
  <c r="AH81" i="17"/>
  <c r="AH82" i="17"/>
  <c r="AH83" i="17"/>
  <c r="AH84" i="17"/>
  <c r="AH85" i="17"/>
  <c r="AH86" i="17"/>
  <c r="AH87" i="17"/>
  <c r="AH88" i="17"/>
  <c r="AH89" i="17"/>
  <c r="AH90" i="17"/>
  <c r="AH91" i="17"/>
  <c r="AH92" i="17"/>
  <c r="AH93" i="17"/>
  <c r="AH94" i="17"/>
  <c r="AH95" i="17"/>
  <c r="AH96" i="17"/>
  <c r="AH97" i="17"/>
  <c r="AH98" i="17"/>
  <c r="AH99" i="17"/>
  <c r="AH100" i="17"/>
  <c r="AH101" i="17"/>
  <c r="AH102" i="17"/>
  <c r="AH103" i="17"/>
  <c r="AH104" i="17"/>
  <c r="AH105" i="17"/>
  <c r="AH106" i="17"/>
  <c r="AH107" i="17"/>
  <c r="AH108" i="17"/>
  <c r="AH109" i="17"/>
  <c r="AH110" i="17"/>
  <c r="AH111" i="17"/>
  <c r="AH112" i="17"/>
  <c r="AH113" i="17"/>
  <c r="AH114" i="17"/>
  <c r="AH115" i="17"/>
  <c r="AH116" i="17"/>
  <c r="AH117" i="17"/>
  <c r="AH118" i="17"/>
  <c r="AH119" i="17"/>
  <c r="AH120" i="17"/>
  <c r="AH121" i="17"/>
  <c r="AH122" i="17"/>
  <c r="AH123" i="17"/>
  <c r="AH124" i="17"/>
  <c r="AH125" i="17"/>
  <c r="AH126" i="17"/>
  <c r="AH127" i="17"/>
  <c r="AH128" i="17"/>
  <c r="AH129" i="17"/>
  <c r="AH130" i="17"/>
  <c r="AH131" i="17"/>
  <c r="AH132" i="17"/>
  <c r="AH133" i="17"/>
  <c r="AH134" i="17"/>
  <c r="AH135" i="17"/>
  <c r="AH136" i="17"/>
  <c r="AH137" i="17"/>
  <c r="AH138" i="17"/>
  <c r="AH139" i="17"/>
  <c r="AH140" i="17"/>
  <c r="AH141" i="17"/>
  <c r="AH142" i="17"/>
  <c r="AH143" i="17"/>
  <c r="AH144" i="17"/>
  <c r="AH145" i="17"/>
  <c r="AH146" i="17"/>
  <c r="AH147" i="17"/>
  <c r="AH148" i="17"/>
  <c r="AH149" i="17"/>
  <c r="AH150" i="17"/>
  <c r="AH151" i="17"/>
  <c r="AH152" i="17"/>
  <c r="AH153" i="17"/>
  <c r="AH154" i="17"/>
  <c r="AH155" i="17"/>
  <c r="AH156" i="17"/>
  <c r="AH157" i="17"/>
  <c r="AH158" i="17"/>
  <c r="AH159" i="17"/>
  <c r="AH160" i="17"/>
  <c r="AH161" i="17"/>
  <c r="AH162" i="17"/>
  <c r="AH163" i="17"/>
  <c r="AH164" i="17"/>
  <c r="AH165" i="17"/>
  <c r="AH166" i="17"/>
  <c r="AH167" i="17"/>
  <c r="AH168" i="17"/>
  <c r="AH169" i="17"/>
  <c r="AH170" i="17"/>
  <c r="AH171" i="17"/>
  <c r="AH172" i="17"/>
  <c r="AH173" i="17"/>
  <c r="AH174" i="17"/>
  <c r="AH175" i="17"/>
  <c r="AH176" i="17"/>
  <c r="AH177" i="17"/>
  <c r="AH178" i="17"/>
  <c r="AH179" i="17"/>
  <c r="AH180" i="17"/>
  <c r="AH181" i="17"/>
  <c r="AH182" i="17"/>
  <c r="AH183" i="17"/>
  <c r="AH184" i="17"/>
  <c r="AH185" i="17"/>
  <c r="AH186" i="17"/>
  <c r="AH187" i="17"/>
  <c r="AH188" i="17"/>
  <c r="AH189" i="17"/>
  <c r="AH190" i="17"/>
  <c r="AH191" i="17"/>
  <c r="AH192" i="17"/>
  <c r="AH193" i="17"/>
  <c r="AH194" i="17"/>
  <c r="AH195" i="17"/>
  <c r="AH196" i="17"/>
  <c r="AH197" i="17"/>
  <c r="AH198" i="17"/>
  <c r="AH199" i="17"/>
  <c r="AH200" i="17"/>
  <c r="AH201" i="17"/>
  <c r="Y4" i="17"/>
  <c r="Y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75" i="17"/>
  <c r="Y76" i="17"/>
  <c r="Y77" i="17"/>
  <c r="Y78" i="17"/>
  <c r="Y79" i="17"/>
  <c r="Y80" i="17"/>
  <c r="Y81" i="17"/>
  <c r="Y82" i="17"/>
  <c r="Y83" i="17"/>
  <c r="Y84" i="17"/>
  <c r="Y85" i="17"/>
  <c r="Y86" i="17"/>
  <c r="Y87" i="17"/>
  <c r="Y88" i="17"/>
  <c r="Y89" i="17"/>
  <c r="Y90" i="17"/>
  <c r="Y91" i="17"/>
  <c r="Y92" i="17"/>
  <c r="Y93" i="17"/>
  <c r="Y94" i="17"/>
  <c r="Y95" i="17"/>
  <c r="Y96" i="17"/>
  <c r="Y97" i="17"/>
  <c r="Y98" i="17"/>
  <c r="Y99" i="17"/>
  <c r="Y100" i="17"/>
  <c r="Y101" i="17"/>
  <c r="Y102" i="17"/>
  <c r="Y103" i="17"/>
  <c r="Y104" i="17"/>
  <c r="Y105" i="17"/>
  <c r="Y106" i="17"/>
  <c r="Y107" i="17"/>
  <c r="Y108" i="17"/>
  <c r="Y109" i="17"/>
  <c r="Y110" i="17"/>
  <c r="Y111" i="17"/>
  <c r="Y112" i="17"/>
  <c r="Y113" i="17"/>
  <c r="Y114" i="17"/>
  <c r="Y115" i="17"/>
  <c r="Y116" i="17"/>
  <c r="Y117" i="17"/>
  <c r="Y118" i="17"/>
  <c r="Y119" i="17"/>
  <c r="Y120" i="17"/>
  <c r="Y121" i="17"/>
  <c r="Y122" i="17"/>
  <c r="Y123" i="17"/>
  <c r="Y124" i="17"/>
  <c r="Y125" i="17"/>
  <c r="Y126" i="17"/>
  <c r="Y127" i="17"/>
  <c r="Y128" i="17"/>
  <c r="Y129" i="17"/>
  <c r="Y130" i="17"/>
  <c r="Y131" i="17"/>
  <c r="Y132" i="17"/>
  <c r="Y133" i="17"/>
  <c r="Y134" i="17"/>
  <c r="Y135" i="17"/>
  <c r="Y136" i="17"/>
  <c r="Y137" i="17"/>
  <c r="Y138" i="17"/>
  <c r="Y139" i="17"/>
  <c r="Y140" i="17"/>
  <c r="Y141" i="17"/>
  <c r="Y142" i="17"/>
  <c r="Y143" i="17"/>
  <c r="Y144" i="17"/>
  <c r="Y145" i="17"/>
  <c r="Y146" i="17"/>
  <c r="Y147" i="17"/>
  <c r="Y148" i="17"/>
  <c r="Y149" i="17"/>
  <c r="Y150" i="17"/>
  <c r="Y151" i="17"/>
  <c r="Y152" i="17"/>
  <c r="Y153" i="17"/>
  <c r="Y154" i="17"/>
  <c r="Y155" i="17"/>
  <c r="Y156" i="17"/>
  <c r="Y157" i="17"/>
  <c r="Y158" i="17"/>
  <c r="Y159" i="17"/>
  <c r="Y160" i="17"/>
  <c r="Y161" i="17"/>
  <c r="Y162" i="17"/>
  <c r="Y163" i="17"/>
  <c r="Y164" i="17"/>
  <c r="Y165" i="17"/>
  <c r="Y166" i="17"/>
  <c r="Y167" i="17"/>
  <c r="Y168" i="17"/>
  <c r="Y169" i="17"/>
  <c r="Y170" i="17"/>
  <c r="Y171" i="17"/>
  <c r="Y172" i="17"/>
  <c r="Y173" i="17"/>
  <c r="Y174" i="17"/>
  <c r="Y175" i="17"/>
  <c r="Y176" i="17"/>
  <c r="Y177" i="17"/>
  <c r="Y178" i="17"/>
  <c r="Y179" i="17"/>
  <c r="Y180" i="17"/>
  <c r="Y181" i="17"/>
  <c r="Y182" i="17"/>
  <c r="Y183" i="17"/>
  <c r="Y184" i="17"/>
  <c r="Y185" i="17"/>
  <c r="Y186" i="17"/>
  <c r="Y187" i="17"/>
  <c r="Y188" i="17"/>
  <c r="Y189" i="17"/>
  <c r="Y190" i="17"/>
  <c r="Y191" i="17"/>
  <c r="Y192" i="17"/>
  <c r="Y193" i="17"/>
  <c r="Y194" i="17"/>
  <c r="Y195" i="17"/>
  <c r="Y196" i="17"/>
  <c r="Y197" i="17"/>
  <c r="Y198" i="17"/>
  <c r="Y199" i="17"/>
  <c r="Y200" i="17"/>
  <c r="Y201" i="17"/>
  <c r="U4" i="17"/>
  <c r="U5" i="17"/>
  <c r="U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64" i="17"/>
  <c r="U65" i="17"/>
  <c r="U66" i="17"/>
  <c r="U67" i="17"/>
  <c r="U68" i="17"/>
  <c r="U69" i="17"/>
  <c r="U70" i="17"/>
  <c r="U71" i="17"/>
  <c r="U72" i="17"/>
  <c r="U73" i="17"/>
  <c r="U74" i="17"/>
  <c r="U75" i="17"/>
  <c r="U76" i="17"/>
  <c r="U77" i="17"/>
  <c r="U78" i="17"/>
  <c r="U79" i="17"/>
  <c r="U80" i="17"/>
  <c r="U81" i="17"/>
  <c r="U82" i="17"/>
  <c r="U83" i="17"/>
  <c r="U84" i="17"/>
  <c r="U85" i="17"/>
  <c r="U86" i="17"/>
  <c r="U87" i="17"/>
  <c r="U88" i="17"/>
  <c r="U89" i="17"/>
  <c r="U90" i="17"/>
  <c r="U91" i="17"/>
  <c r="U92" i="17"/>
  <c r="U93" i="17"/>
  <c r="U94" i="17"/>
  <c r="U95" i="17"/>
  <c r="U96" i="17"/>
  <c r="U97" i="17"/>
  <c r="U98" i="17"/>
  <c r="U99" i="17"/>
  <c r="U100" i="17"/>
  <c r="U101" i="17"/>
  <c r="U102" i="17"/>
  <c r="U103" i="17"/>
  <c r="U104" i="17"/>
  <c r="U105" i="17"/>
  <c r="U106" i="17"/>
  <c r="U107" i="17"/>
  <c r="U108" i="17"/>
  <c r="U109" i="17"/>
  <c r="U110" i="17"/>
  <c r="U111" i="17"/>
  <c r="U112" i="17"/>
  <c r="U113" i="17"/>
  <c r="U114" i="17"/>
  <c r="U115" i="17"/>
  <c r="U116" i="17"/>
  <c r="U117" i="17"/>
  <c r="U118" i="17"/>
  <c r="U119" i="17"/>
  <c r="U120" i="17"/>
  <c r="U121" i="17"/>
  <c r="U122" i="17"/>
  <c r="U123" i="17"/>
  <c r="U124" i="17"/>
  <c r="U125" i="17"/>
  <c r="U126" i="17"/>
  <c r="U127" i="17"/>
  <c r="U128" i="17"/>
  <c r="U129" i="17"/>
  <c r="U130" i="17"/>
  <c r="U131" i="17"/>
  <c r="U132" i="17"/>
  <c r="U133" i="17"/>
  <c r="U134" i="17"/>
  <c r="U135" i="17"/>
  <c r="U136" i="17"/>
  <c r="U137" i="17"/>
  <c r="U138" i="17"/>
  <c r="U139" i="17"/>
  <c r="U140" i="17"/>
  <c r="U141" i="17"/>
  <c r="U142" i="17"/>
  <c r="U143" i="17"/>
  <c r="U144" i="17"/>
  <c r="U145" i="17"/>
  <c r="U146" i="17"/>
  <c r="U147" i="17"/>
  <c r="U148" i="17"/>
  <c r="U149" i="17"/>
  <c r="U150" i="17"/>
  <c r="U151" i="17"/>
  <c r="U152" i="17"/>
  <c r="U153" i="17"/>
  <c r="U154" i="17"/>
  <c r="U155" i="17"/>
  <c r="U156" i="17"/>
  <c r="U157" i="17"/>
  <c r="U158" i="17"/>
  <c r="U159" i="17"/>
  <c r="U160" i="17"/>
  <c r="U161" i="17"/>
  <c r="U162" i="17"/>
  <c r="U163" i="17"/>
  <c r="U164" i="17"/>
  <c r="U165" i="17"/>
  <c r="U166" i="17"/>
  <c r="U167" i="17"/>
  <c r="U168" i="17"/>
  <c r="U169" i="17"/>
  <c r="U170" i="17"/>
  <c r="U171" i="17"/>
  <c r="U172" i="17"/>
  <c r="U173" i="17"/>
  <c r="U174" i="17"/>
  <c r="U175" i="17"/>
  <c r="U176" i="17"/>
  <c r="U177" i="17"/>
  <c r="U178" i="17"/>
  <c r="U179" i="17"/>
  <c r="U180" i="17"/>
  <c r="U181" i="17"/>
  <c r="U182" i="17"/>
  <c r="U183" i="17"/>
  <c r="U184" i="17"/>
  <c r="U185" i="17"/>
  <c r="U186" i="17"/>
  <c r="U187" i="17"/>
  <c r="U188" i="17"/>
  <c r="U189" i="17"/>
  <c r="U190" i="17"/>
  <c r="U191" i="17"/>
  <c r="U192" i="17"/>
  <c r="U193" i="17"/>
  <c r="U194" i="17"/>
  <c r="U195" i="17"/>
  <c r="U196" i="17"/>
  <c r="U197" i="17"/>
  <c r="U198" i="17"/>
  <c r="U199" i="17"/>
  <c r="U200" i="17"/>
  <c r="U201" i="17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09" i="17"/>
  <c r="Q110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BG4" i="16"/>
  <c r="BG5" i="16"/>
  <c r="BG6" i="16"/>
  <c r="BG7" i="16"/>
  <c r="BG8" i="16"/>
  <c r="BG9" i="16"/>
  <c r="BG10" i="16"/>
  <c r="BG11" i="16"/>
  <c r="BG12" i="16"/>
  <c r="BG13" i="16"/>
  <c r="BG14" i="16"/>
  <c r="BG15" i="16"/>
  <c r="BG16" i="16"/>
  <c r="BG17" i="16"/>
  <c r="BG18" i="16"/>
  <c r="BG19" i="16"/>
  <c r="BG20" i="16"/>
  <c r="BG21" i="16"/>
  <c r="BG22" i="16"/>
  <c r="BG23" i="16"/>
  <c r="BG24" i="16"/>
  <c r="BG25" i="16"/>
  <c r="BG26" i="16"/>
  <c r="BG27" i="16"/>
  <c r="BG28" i="16"/>
  <c r="BG29" i="16"/>
  <c r="BG30" i="16"/>
  <c r="BG31" i="16"/>
  <c r="BG32" i="16"/>
  <c r="BG33" i="16"/>
  <c r="BG34" i="16"/>
  <c r="BG35" i="16"/>
  <c r="BG36" i="16"/>
  <c r="BG37" i="16"/>
  <c r="BG38" i="16"/>
  <c r="BG39" i="16"/>
  <c r="BG40" i="16"/>
  <c r="BG41" i="16"/>
  <c r="BG42" i="16"/>
  <c r="BG43" i="16"/>
  <c r="BG44" i="16"/>
  <c r="BG45" i="16"/>
  <c r="BG46" i="16"/>
  <c r="BG47" i="16"/>
  <c r="BG48" i="16"/>
  <c r="BG49" i="16"/>
  <c r="BG50" i="16"/>
  <c r="BG51" i="16"/>
  <c r="BG52" i="16"/>
  <c r="BG53" i="16"/>
  <c r="BG54" i="16"/>
  <c r="BG55" i="16"/>
  <c r="BG56" i="16"/>
  <c r="BG57" i="16"/>
  <c r="BG58" i="16"/>
  <c r="BG59" i="16"/>
  <c r="BG60" i="16"/>
  <c r="BG61" i="16"/>
  <c r="BG62" i="16"/>
  <c r="BG63" i="16"/>
  <c r="BG64" i="16"/>
  <c r="BG65" i="16"/>
  <c r="BG66" i="16"/>
  <c r="BG67" i="16"/>
  <c r="BG68" i="16"/>
  <c r="BG69" i="16"/>
  <c r="BG70" i="16"/>
  <c r="BG71" i="16"/>
  <c r="BG72" i="16"/>
  <c r="BG73" i="16"/>
  <c r="BG74" i="16"/>
  <c r="BG75" i="16"/>
  <c r="BG76" i="16"/>
  <c r="BG77" i="16"/>
  <c r="BG78" i="16"/>
  <c r="BG79" i="16"/>
  <c r="BG80" i="16"/>
  <c r="BG81" i="16"/>
  <c r="BG82" i="16"/>
  <c r="BG83" i="16"/>
  <c r="BG84" i="16"/>
  <c r="BG85" i="16"/>
  <c r="BG86" i="16"/>
  <c r="BG87" i="16"/>
  <c r="BG88" i="16"/>
  <c r="BG89" i="16"/>
  <c r="BG90" i="16"/>
  <c r="BG91" i="16"/>
  <c r="BG92" i="16"/>
  <c r="BG93" i="16"/>
  <c r="BG94" i="16"/>
  <c r="BG95" i="16"/>
  <c r="BG96" i="16"/>
  <c r="BG97" i="16"/>
  <c r="BG98" i="16"/>
  <c r="BG99" i="16"/>
  <c r="BG100" i="16"/>
  <c r="BG101" i="16"/>
  <c r="BG102" i="16"/>
  <c r="BG103" i="16"/>
  <c r="BG104" i="16"/>
  <c r="BG105" i="16"/>
  <c r="BG106" i="16"/>
  <c r="BG107" i="16"/>
  <c r="BG108" i="16"/>
  <c r="BG109" i="16"/>
  <c r="BG110" i="16"/>
  <c r="BG111" i="16"/>
  <c r="BG112" i="16"/>
  <c r="BG113" i="16"/>
  <c r="BG114" i="16"/>
  <c r="BG115" i="16"/>
  <c r="BG116" i="16"/>
  <c r="BG117" i="16"/>
  <c r="BG118" i="16"/>
  <c r="BG119" i="16"/>
  <c r="BG120" i="16"/>
  <c r="BG121" i="16"/>
  <c r="BG122" i="16"/>
  <c r="BG123" i="16"/>
  <c r="BG124" i="16"/>
  <c r="BG125" i="16"/>
  <c r="BG126" i="16"/>
  <c r="BG127" i="16"/>
  <c r="BG128" i="16"/>
  <c r="BG129" i="16"/>
  <c r="BG130" i="16"/>
  <c r="BG131" i="16"/>
  <c r="BG132" i="16"/>
  <c r="BG133" i="16"/>
  <c r="BG134" i="16"/>
  <c r="BG135" i="16"/>
  <c r="BG136" i="16"/>
  <c r="BG137" i="16"/>
  <c r="BG138" i="16"/>
  <c r="BG139" i="16"/>
  <c r="BG140" i="16"/>
  <c r="BG141" i="16"/>
  <c r="BG142" i="16"/>
  <c r="BG143" i="16"/>
  <c r="BG144" i="16"/>
  <c r="BG145" i="16"/>
  <c r="BG146" i="16"/>
  <c r="BG147" i="16"/>
  <c r="BG148" i="16"/>
  <c r="BG149" i="16"/>
  <c r="BG150" i="16"/>
  <c r="BG151" i="16"/>
  <c r="BG152" i="16"/>
  <c r="BG153" i="16"/>
  <c r="BG154" i="16"/>
  <c r="BG155" i="16"/>
  <c r="BG156" i="16"/>
  <c r="BG157" i="16"/>
  <c r="BG158" i="16"/>
  <c r="BG159" i="16"/>
  <c r="BG160" i="16"/>
  <c r="BG161" i="16"/>
  <c r="BG162" i="16"/>
  <c r="BG163" i="16"/>
  <c r="BG164" i="16"/>
  <c r="BG165" i="16"/>
  <c r="BG166" i="16"/>
  <c r="BG167" i="16"/>
  <c r="BG168" i="16"/>
  <c r="BG169" i="16"/>
  <c r="BG170" i="16"/>
  <c r="BG171" i="16"/>
  <c r="BG172" i="16"/>
  <c r="BG173" i="16"/>
  <c r="BG174" i="16"/>
  <c r="BG175" i="16"/>
  <c r="BG176" i="16"/>
  <c r="BG177" i="16"/>
  <c r="BG178" i="16"/>
  <c r="BG179" i="16"/>
  <c r="BG180" i="16"/>
  <c r="BG181" i="16"/>
  <c r="BG182" i="16"/>
  <c r="BG183" i="16"/>
  <c r="BG184" i="16"/>
  <c r="BG185" i="16"/>
  <c r="BG186" i="16"/>
  <c r="BG187" i="16"/>
  <c r="BG188" i="16"/>
  <c r="BG189" i="16"/>
  <c r="BG190" i="16"/>
  <c r="BG191" i="16"/>
  <c r="BG192" i="16"/>
  <c r="BG193" i="16"/>
  <c r="BG194" i="16"/>
  <c r="BG195" i="16"/>
  <c r="BG196" i="16"/>
  <c r="BG197" i="16"/>
  <c r="BG198" i="16"/>
  <c r="BG199" i="16"/>
  <c r="BG200" i="16"/>
  <c r="BG201" i="16"/>
  <c r="BC4" i="16"/>
  <c r="BC5" i="16"/>
  <c r="BC6" i="16"/>
  <c r="BC7" i="16"/>
  <c r="BC8" i="16"/>
  <c r="BC9" i="16"/>
  <c r="BC10" i="16"/>
  <c r="BC11" i="16"/>
  <c r="BC12" i="16"/>
  <c r="BC13" i="16"/>
  <c r="BC14" i="16"/>
  <c r="BC15" i="16"/>
  <c r="BC16" i="16"/>
  <c r="BC17" i="16"/>
  <c r="BC18" i="16"/>
  <c r="BC19" i="16"/>
  <c r="BC20" i="16"/>
  <c r="BC21" i="16"/>
  <c r="BC22" i="16"/>
  <c r="BC23" i="16"/>
  <c r="BC24" i="16"/>
  <c r="BC25" i="16"/>
  <c r="BC26" i="16"/>
  <c r="BC27" i="16"/>
  <c r="BC28" i="16"/>
  <c r="BC29" i="16"/>
  <c r="BC30" i="16"/>
  <c r="BC31" i="16"/>
  <c r="BC32" i="16"/>
  <c r="BC33" i="16"/>
  <c r="BC34" i="16"/>
  <c r="BC35" i="16"/>
  <c r="BC36" i="16"/>
  <c r="BC37" i="16"/>
  <c r="BC38" i="16"/>
  <c r="BC39" i="16"/>
  <c r="BC40" i="16"/>
  <c r="BC41" i="16"/>
  <c r="BC42" i="16"/>
  <c r="BC43" i="16"/>
  <c r="BC44" i="16"/>
  <c r="BC45" i="16"/>
  <c r="BC46" i="16"/>
  <c r="BC47" i="16"/>
  <c r="BC48" i="16"/>
  <c r="BC49" i="16"/>
  <c r="BC50" i="16"/>
  <c r="BC51" i="16"/>
  <c r="BC52" i="16"/>
  <c r="BC53" i="16"/>
  <c r="BC54" i="16"/>
  <c r="BC55" i="16"/>
  <c r="BC56" i="16"/>
  <c r="BC57" i="16"/>
  <c r="BC58" i="16"/>
  <c r="BC59" i="16"/>
  <c r="BC60" i="16"/>
  <c r="BC61" i="16"/>
  <c r="BC62" i="16"/>
  <c r="BC63" i="16"/>
  <c r="BC64" i="16"/>
  <c r="BC65" i="16"/>
  <c r="BC66" i="16"/>
  <c r="BC67" i="16"/>
  <c r="BC68" i="16"/>
  <c r="BC69" i="16"/>
  <c r="BC70" i="16"/>
  <c r="BC71" i="16"/>
  <c r="BC72" i="16"/>
  <c r="BC73" i="16"/>
  <c r="BC74" i="16"/>
  <c r="BC75" i="16"/>
  <c r="BC76" i="16"/>
  <c r="BC77" i="16"/>
  <c r="BC78" i="16"/>
  <c r="BC79" i="16"/>
  <c r="BC80" i="16"/>
  <c r="BC81" i="16"/>
  <c r="BC82" i="16"/>
  <c r="BC83" i="16"/>
  <c r="BC84" i="16"/>
  <c r="BC85" i="16"/>
  <c r="BC86" i="16"/>
  <c r="BC87" i="16"/>
  <c r="BC88" i="16"/>
  <c r="BC89" i="16"/>
  <c r="BC90" i="16"/>
  <c r="BC91" i="16"/>
  <c r="BC92" i="16"/>
  <c r="BC93" i="16"/>
  <c r="BC94" i="16"/>
  <c r="BC95" i="16"/>
  <c r="BC96" i="16"/>
  <c r="BC97" i="16"/>
  <c r="BC98" i="16"/>
  <c r="BC99" i="16"/>
  <c r="BC100" i="16"/>
  <c r="BC101" i="16"/>
  <c r="BC102" i="16"/>
  <c r="BC103" i="16"/>
  <c r="BC104" i="16"/>
  <c r="BC105" i="16"/>
  <c r="BC106" i="16"/>
  <c r="BC107" i="16"/>
  <c r="BC108" i="16"/>
  <c r="BC109" i="16"/>
  <c r="BC110" i="16"/>
  <c r="BC111" i="16"/>
  <c r="BC112" i="16"/>
  <c r="BC113" i="16"/>
  <c r="BC114" i="16"/>
  <c r="BC115" i="16"/>
  <c r="BC116" i="16"/>
  <c r="BC117" i="16"/>
  <c r="BC118" i="16"/>
  <c r="BC119" i="16"/>
  <c r="BC120" i="16"/>
  <c r="BC121" i="16"/>
  <c r="BC122" i="16"/>
  <c r="BC123" i="16"/>
  <c r="BC124" i="16"/>
  <c r="BC125" i="16"/>
  <c r="BC126" i="16"/>
  <c r="BC127" i="16"/>
  <c r="BC128" i="16"/>
  <c r="BC129" i="16"/>
  <c r="BC130" i="16"/>
  <c r="BC131" i="16"/>
  <c r="BC132" i="16"/>
  <c r="BC133" i="16"/>
  <c r="BC134" i="16"/>
  <c r="BC135" i="16"/>
  <c r="BC136" i="16"/>
  <c r="BC137" i="16"/>
  <c r="BC138" i="16"/>
  <c r="BC139" i="16"/>
  <c r="BC140" i="16"/>
  <c r="BC141" i="16"/>
  <c r="BC142" i="16"/>
  <c r="BC143" i="16"/>
  <c r="BC144" i="16"/>
  <c r="BC145" i="16"/>
  <c r="BC146" i="16"/>
  <c r="BC147" i="16"/>
  <c r="BC148" i="16"/>
  <c r="BC149" i="16"/>
  <c r="BC150" i="16"/>
  <c r="BC151" i="16"/>
  <c r="BC152" i="16"/>
  <c r="BC153" i="16"/>
  <c r="BC154" i="16"/>
  <c r="BC155" i="16"/>
  <c r="BC156" i="16"/>
  <c r="BC157" i="16"/>
  <c r="BC158" i="16"/>
  <c r="BC159" i="16"/>
  <c r="BC160" i="16"/>
  <c r="BC161" i="16"/>
  <c r="BC162" i="16"/>
  <c r="BC163" i="16"/>
  <c r="BC164" i="16"/>
  <c r="BC165" i="16"/>
  <c r="BC166" i="16"/>
  <c r="BC167" i="16"/>
  <c r="BC168" i="16"/>
  <c r="BC169" i="16"/>
  <c r="BC170" i="16"/>
  <c r="BC171" i="16"/>
  <c r="BC172" i="16"/>
  <c r="BC173" i="16"/>
  <c r="BC174" i="16"/>
  <c r="BC175" i="16"/>
  <c r="BC176" i="16"/>
  <c r="BC177" i="16"/>
  <c r="BC178" i="16"/>
  <c r="BC179" i="16"/>
  <c r="BC180" i="16"/>
  <c r="BC181" i="16"/>
  <c r="BC182" i="16"/>
  <c r="BC183" i="16"/>
  <c r="BC184" i="16"/>
  <c r="BC185" i="16"/>
  <c r="BC186" i="16"/>
  <c r="BC187" i="16"/>
  <c r="BC188" i="16"/>
  <c r="BC189" i="16"/>
  <c r="BC190" i="16"/>
  <c r="BC191" i="16"/>
  <c r="BC192" i="16"/>
  <c r="BC193" i="16"/>
  <c r="BC194" i="16"/>
  <c r="BC195" i="16"/>
  <c r="BC196" i="16"/>
  <c r="BC197" i="16"/>
  <c r="BC198" i="16"/>
  <c r="BC199" i="16"/>
  <c r="BC200" i="16"/>
  <c r="BC201" i="16"/>
  <c r="AY4" i="16"/>
  <c r="AY5" i="16"/>
  <c r="AY6" i="16"/>
  <c r="AY7" i="16"/>
  <c r="AY8" i="16"/>
  <c r="AY9" i="16"/>
  <c r="AY10" i="16"/>
  <c r="AY11" i="16"/>
  <c r="AY12" i="16"/>
  <c r="AY13" i="16"/>
  <c r="AY14" i="16"/>
  <c r="AY15" i="16"/>
  <c r="AY16" i="16"/>
  <c r="AY17" i="16"/>
  <c r="AY18" i="16"/>
  <c r="AY19" i="16"/>
  <c r="AY20" i="16"/>
  <c r="AY21" i="16"/>
  <c r="AY22" i="16"/>
  <c r="AY23" i="16"/>
  <c r="AY24" i="16"/>
  <c r="AY25" i="16"/>
  <c r="AY26" i="16"/>
  <c r="AY27" i="16"/>
  <c r="AY28" i="16"/>
  <c r="AY29" i="16"/>
  <c r="AY30" i="16"/>
  <c r="AY31" i="16"/>
  <c r="AY32" i="16"/>
  <c r="AY33" i="16"/>
  <c r="AY34" i="16"/>
  <c r="AY35" i="16"/>
  <c r="AY36" i="16"/>
  <c r="AY37" i="16"/>
  <c r="AY38" i="16"/>
  <c r="AY39" i="16"/>
  <c r="AY40" i="16"/>
  <c r="AY41" i="16"/>
  <c r="AY42" i="16"/>
  <c r="AY43" i="16"/>
  <c r="AY44" i="16"/>
  <c r="AY45" i="16"/>
  <c r="AY46" i="16"/>
  <c r="AY47" i="16"/>
  <c r="AY48" i="16"/>
  <c r="AY49" i="16"/>
  <c r="AY50" i="16"/>
  <c r="AY51" i="16"/>
  <c r="AY52" i="16"/>
  <c r="AY53" i="16"/>
  <c r="AY54" i="16"/>
  <c r="AY55" i="16"/>
  <c r="AY56" i="16"/>
  <c r="AY57" i="16"/>
  <c r="AY58" i="16"/>
  <c r="AY59" i="16"/>
  <c r="AY60" i="16"/>
  <c r="AY61" i="16"/>
  <c r="AY62" i="16"/>
  <c r="AY63" i="16"/>
  <c r="AY64" i="16"/>
  <c r="AY65" i="16"/>
  <c r="AY66" i="16"/>
  <c r="AY67" i="16"/>
  <c r="AY68" i="16"/>
  <c r="AY69" i="16"/>
  <c r="AY70" i="16"/>
  <c r="AY71" i="16"/>
  <c r="AY72" i="16"/>
  <c r="AY73" i="16"/>
  <c r="AY74" i="16"/>
  <c r="AY75" i="16"/>
  <c r="AY76" i="16"/>
  <c r="AY77" i="16"/>
  <c r="AY78" i="16"/>
  <c r="AY79" i="16"/>
  <c r="AY80" i="16"/>
  <c r="AY81" i="16"/>
  <c r="AY82" i="16"/>
  <c r="AY83" i="16"/>
  <c r="AY84" i="16"/>
  <c r="AY85" i="16"/>
  <c r="AY86" i="16"/>
  <c r="AY87" i="16"/>
  <c r="AY88" i="16"/>
  <c r="AY89" i="16"/>
  <c r="AY90" i="16"/>
  <c r="AY91" i="16"/>
  <c r="AY92" i="16"/>
  <c r="AY93" i="16"/>
  <c r="AY94" i="16"/>
  <c r="AY95" i="16"/>
  <c r="AY96" i="16"/>
  <c r="AY97" i="16"/>
  <c r="AY98" i="16"/>
  <c r="AY99" i="16"/>
  <c r="AY100" i="16"/>
  <c r="AY101" i="16"/>
  <c r="AY102" i="16"/>
  <c r="AY103" i="16"/>
  <c r="AY104" i="16"/>
  <c r="AY105" i="16"/>
  <c r="AY106" i="16"/>
  <c r="AY107" i="16"/>
  <c r="AY108" i="16"/>
  <c r="AY109" i="16"/>
  <c r="AY110" i="16"/>
  <c r="AY111" i="16"/>
  <c r="AY112" i="16"/>
  <c r="AY113" i="16"/>
  <c r="AY114" i="16"/>
  <c r="AY115" i="16"/>
  <c r="AY116" i="16"/>
  <c r="AY117" i="16"/>
  <c r="AY118" i="16"/>
  <c r="AY119" i="16"/>
  <c r="AY120" i="16"/>
  <c r="AY121" i="16"/>
  <c r="AY122" i="16"/>
  <c r="AY123" i="16"/>
  <c r="AY124" i="16"/>
  <c r="AY125" i="16"/>
  <c r="AY126" i="16"/>
  <c r="AY127" i="16"/>
  <c r="AY128" i="16"/>
  <c r="AY129" i="16"/>
  <c r="AY130" i="16"/>
  <c r="AY131" i="16"/>
  <c r="AY132" i="16"/>
  <c r="AY133" i="16"/>
  <c r="AY134" i="16"/>
  <c r="AY135" i="16"/>
  <c r="AY136" i="16"/>
  <c r="AY137" i="16"/>
  <c r="AY138" i="16"/>
  <c r="AY139" i="16"/>
  <c r="AY140" i="16"/>
  <c r="AY141" i="16"/>
  <c r="AY142" i="16"/>
  <c r="AY143" i="16"/>
  <c r="AY144" i="16"/>
  <c r="AY145" i="16"/>
  <c r="AY146" i="16"/>
  <c r="AY147" i="16"/>
  <c r="AY148" i="16"/>
  <c r="AY149" i="16"/>
  <c r="AY150" i="16"/>
  <c r="AY151" i="16"/>
  <c r="AY152" i="16"/>
  <c r="AY153" i="16"/>
  <c r="AY154" i="16"/>
  <c r="AY155" i="16"/>
  <c r="AY156" i="16"/>
  <c r="AY157" i="16"/>
  <c r="AY158" i="16"/>
  <c r="AY159" i="16"/>
  <c r="AY160" i="16"/>
  <c r="AY161" i="16"/>
  <c r="AY162" i="16"/>
  <c r="AY163" i="16"/>
  <c r="AY164" i="16"/>
  <c r="AY165" i="16"/>
  <c r="AY166" i="16"/>
  <c r="AY167" i="16"/>
  <c r="AY168" i="16"/>
  <c r="AY169" i="16"/>
  <c r="AY170" i="16"/>
  <c r="AY171" i="16"/>
  <c r="AY172" i="16"/>
  <c r="AY173" i="16"/>
  <c r="AY174" i="16"/>
  <c r="AY175" i="16"/>
  <c r="AY176" i="16"/>
  <c r="AY177" i="16"/>
  <c r="AY178" i="16"/>
  <c r="AY179" i="16"/>
  <c r="AY180" i="16"/>
  <c r="AY181" i="16"/>
  <c r="AY182" i="16"/>
  <c r="AY183" i="16"/>
  <c r="AY184" i="16"/>
  <c r="AY185" i="16"/>
  <c r="AY186" i="16"/>
  <c r="AY187" i="16"/>
  <c r="AY188" i="16"/>
  <c r="AY189" i="16"/>
  <c r="AY190" i="16"/>
  <c r="AY191" i="16"/>
  <c r="AY192" i="16"/>
  <c r="AY193" i="16"/>
  <c r="AY194" i="16"/>
  <c r="AY195" i="16"/>
  <c r="AY196" i="16"/>
  <c r="AY197" i="16"/>
  <c r="AY198" i="16"/>
  <c r="AY199" i="16"/>
  <c r="AY200" i="16"/>
  <c r="AY201" i="16"/>
  <c r="AP4" i="16"/>
  <c r="AP5" i="16"/>
  <c r="AP6" i="16"/>
  <c r="AP7" i="16"/>
  <c r="AP8" i="16"/>
  <c r="AP9" i="16"/>
  <c r="AP10" i="16"/>
  <c r="AP11" i="16"/>
  <c r="AP12" i="16"/>
  <c r="AP13" i="16"/>
  <c r="AP14" i="16"/>
  <c r="AP15" i="16"/>
  <c r="AP16" i="16"/>
  <c r="AP17" i="16"/>
  <c r="AP18" i="16"/>
  <c r="AP19" i="16"/>
  <c r="AP20" i="16"/>
  <c r="AP21" i="16"/>
  <c r="AP22" i="16"/>
  <c r="AP23" i="16"/>
  <c r="AP24" i="16"/>
  <c r="AP25" i="16"/>
  <c r="AP26" i="16"/>
  <c r="AP27" i="16"/>
  <c r="AP28" i="16"/>
  <c r="AP29" i="16"/>
  <c r="AP30" i="16"/>
  <c r="AP31" i="16"/>
  <c r="AP32" i="16"/>
  <c r="AP33" i="16"/>
  <c r="AP34" i="16"/>
  <c r="AP35" i="16"/>
  <c r="AP36" i="16"/>
  <c r="AP37" i="16"/>
  <c r="AP38" i="16"/>
  <c r="AP39" i="16"/>
  <c r="AP40" i="16"/>
  <c r="AP41" i="16"/>
  <c r="AP42" i="16"/>
  <c r="AP43" i="16"/>
  <c r="AP44" i="16"/>
  <c r="AP45" i="16"/>
  <c r="AP46" i="16"/>
  <c r="AP47" i="16"/>
  <c r="AP48" i="16"/>
  <c r="AP49" i="16"/>
  <c r="AP50" i="16"/>
  <c r="AP51" i="16"/>
  <c r="AP52" i="16"/>
  <c r="AP53" i="16"/>
  <c r="AP54" i="16"/>
  <c r="AP55" i="16"/>
  <c r="AP56" i="16"/>
  <c r="AP57" i="16"/>
  <c r="AP58" i="16"/>
  <c r="AP59" i="16"/>
  <c r="AP60" i="16"/>
  <c r="AP61" i="16"/>
  <c r="AP62" i="16"/>
  <c r="AP63" i="16"/>
  <c r="AP64" i="16"/>
  <c r="AP65" i="16"/>
  <c r="AP66" i="16"/>
  <c r="AP67" i="16"/>
  <c r="AP68" i="16"/>
  <c r="AP69" i="16"/>
  <c r="AP70" i="16"/>
  <c r="AP71" i="16"/>
  <c r="AP72" i="16"/>
  <c r="AP73" i="16"/>
  <c r="AP74" i="16"/>
  <c r="AP75" i="16"/>
  <c r="AP76" i="16"/>
  <c r="AP77" i="16"/>
  <c r="AP78" i="16"/>
  <c r="AP79" i="16"/>
  <c r="AP80" i="16"/>
  <c r="AP81" i="16"/>
  <c r="AP82" i="16"/>
  <c r="AP83" i="16"/>
  <c r="AP84" i="16"/>
  <c r="AP85" i="16"/>
  <c r="AP86" i="16"/>
  <c r="AP87" i="16"/>
  <c r="AP88" i="16"/>
  <c r="AP89" i="16"/>
  <c r="AP90" i="16"/>
  <c r="AP91" i="16"/>
  <c r="AP92" i="16"/>
  <c r="AP93" i="16"/>
  <c r="AP94" i="16"/>
  <c r="AP95" i="16"/>
  <c r="AP96" i="16"/>
  <c r="AP97" i="16"/>
  <c r="AP98" i="16"/>
  <c r="AP99" i="16"/>
  <c r="AP100" i="16"/>
  <c r="AP101" i="16"/>
  <c r="AP102" i="16"/>
  <c r="AP103" i="16"/>
  <c r="AP104" i="16"/>
  <c r="AP105" i="16"/>
  <c r="AP106" i="16"/>
  <c r="AP107" i="16"/>
  <c r="AP108" i="16"/>
  <c r="AP109" i="16"/>
  <c r="AP110" i="16"/>
  <c r="AP111" i="16"/>
  <c r="AP112" i="16"/>
  <c r="AP113" i="16"/>
  <c r="AP114" i="16"/>
  <c r="AP115" i="16"/>
  <c r="AP116" i="16"/>
  <c r="AP117" i="16"/>
  <c r="AP118" i="16"/>
  <c r="AP119" i="16"/>
  <c r="AP120" i="16"/>
  <c r="AP121" i="16"/>
  <c r="AP122" i="16"/>
  <c r="AP123" i="16"/>
  <c r="AP124" i="16"/>
  <c r="AP125" i="16"/>
  <c r="AP126" i="16"/>
  <c r="AP127" i="16"/>
  <c r="AP128" i="16"/>
  <c r="AP129" i="16"/>
  <c r="AP130" i="16"/>
  <c r="AP131" i="16"/>
  <c r="AP132" i="16"/>
  <c r="AP133" i="16"/>
  <c r="AP134" i="16"/>
  <c r="AP135" i="16"/>
  <c r="AP136" i="16"/>
  <c r="AP137" i="16"/>
  <c r="AP138" i="16"/>
  <c r="AP139" i="16"/>
  <c r="AP140" i="16"/>
  <c r="AP141" i="16"/>
  <c r="AP142" i="16"/>
  <c r="AP143" i="16"/>
  <c r="AP144" i="16"/>
  <c r="AP145" i="16"/>
  <c r="AP146" i="16"/>
  <c r="AP147" i="16"/>
  <c r="AP148" i="16"/>
  <c r="AP149" i="16"/>
  <c r="AP150" i="16"/>
  <c r="AP151" i="16"/>
  <c r="AP152" i="16"/>
  <c r="AP153" i="16"/>
  <c r="AP154" i="16"/>
  <c r="AP155" i="16"/>
  <c r="AP156" i="16"/>
  <c r="AP157" i="16"/>
  <c r="AP158" i="16"/>
  <c r="AP159" i="16"/>
  <c r="AP160" i="16"/>
  <c r="AP161" i="16"/>
  <c r="AP162" i="16"/>
  <c r="AP163" i="16"/>
  <c r="AP164" i="16"/>
  <c r="AP165" i="16"/>
  <c r="AP166" i="16"/>
  <c r="AP167" i="16"/>
  <c r="AP168" i="16"/>
  <c r="AP169" i="16"/>
  <c r="AP170" i="16"/>
  <c r="AP171" i="16"/>
  <c r="AP172" i="16"/>
  <c r="AP173" i="16"/>
  <c r="AP174" i="16"/>
  <c r="AP175" i="16"/>
  <c r="AP176" i="16"/>
  <c r="AP177" i="16"/>
  <c r="AP178" i="16"/>
  <c r="AP179" i="16"/>
  <c r="AP180" i="16"/>
  <c r="AP181" i="16"/>
  <c r="AP182" i="16"/>
  <c r="AP183" i="16"/>
  <c r="AP184" i="16"/>
  <c r="AP185" i="16"/>
  <c r="AP186" i="16"/>
  <c r="AP187" i="16"/>
  <c r="AP188" i="16"/>
  <c r="AP189" i="16"/>
  <c r="AP190" i="16"/>
  <c r="AP191" i="16"/>
  <c r="AP192" i="16"/>
  <c r="AP193" i="16"/>
  <c r="AP194" i="16"/>
  <c r="AP195" i="16"/>
  <c r="AP196" i="16"/>
  <c r="AP197" i="16"/>
  <c r="AP198" i="16"/>
  <c r="AP199" i="16"/>
  <c r="AP200" i="16"/>
  <c r="AP201" i="16"/>
  <c r="AL4" i="16"/>
  <c r="AL5" i="16"/>
  <c r="AL6" i="16"/>
  <c r="AL7" i="16"/>
  <c r="AL8" i="16"/>
  <c r="AL9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L38" i="16"/>
  <c r="AL39" i="16"/>
  <c r="AL40" i="16"/>
  <c r="AL41" i="16"/>
  <c r="AL42" i="16"/>
  <c r="AL43" i="16"/>
  <c r="AL44" i="16"/>
  <c r="AL45" i="16"/>
  <c r="AL46" i="16"/>
  <c r="AL47" i="16"/>
  <c r="AL48" i="16"/>
  <c r="AL49" i="16"/>
  <c r="AL50" i="16"/>
  <c r="AL51" i="16"/>
  <c r="AL52" i="16"/>
  <c r="AL53" i="16"/>
  <c r="AL54" i="16"/>
  <c r="AL55" i="16"/>
  <c r="AL56" i="16"/>
  <c r="AL57" i="16"/>
  <c r="AL58" i="16"/>
  <c r="AL59" i="16"/>
  <c r="AL60" i="16"/>
  <c r="AL61" i="16"/>
  <c r="AL62" i="16"/>
  <c r="AL63" i="16"/>
  <c r="AL64" i="16"/>
  <c r="AL65" i="16"/>
  <c r="AL66" i="16"/>
  <c r="AL67" i="16"/>
  <c r="AL68" i="16"/>
  <c r="AL69" i="16"/>
  <c r="AL70" i="16"/>
  <c r="AL71" i="16"/>
  <c r="AL72" i="16"/>
  <c r="AL73" i="16"/>
  <c r="AL74" i="16"/>
  <c r="AL75" i="16"/>
  <c r="AL76" i="16"/>
  <c r="AL77" i="16"/>
  <c r="AL78" i="16"/>
  <c r="AL79" i="16"/>
  <c r="AL80" i="16"/>
  <c r="AL81" i="16"/>
  <c r="AL82" i="16"/>
  <c r="AL83" i="16"/>
  <c r="AL84" i="16"/>
  <c r="AL85" i="16"/>
  <c r="AL86" i="16"/>
  <c r="AL87" i="16"/>
  <c r="AL88" i="16"/>
  <c r="AL89" i="16"/>
  <c r="AL90" i="16"/>
  <c r="AL91" i="16"/>
  <c r="AL92" i="16"/>
  <c r="AL93" i="16"/>
  <c r="AL94" i="16"/>
  <c r="AL95" i="16"/>
  <c r="AL96" i="16"/>
  <c r="AL97" i="16"/>
  <c r="AL98" i="16"/>
  <c r="AL99" i="16"/>
  <c r="AL100" i="16"/>
  <c r="AL101" i="16"/>
  <c r="AL102" i="16"/>
  <c r="AL103" i="16"/>
  <c r="AL104" i="16"/>
  <c r="AL105" i="16"/>
  <c r="AL106" i="16"/>
  <c r="AL107" i="16"/>
  <c r="AL108" i="16"/>
  <c r="AL109" i="16"/>
  <c r="AL110" i="16"/>
  <c r="AL111" i="16"/>
  <c r="AL112" i="16"/>
  <c r="AL113" i="16"/>
  <c r="AL114" i="16"/>
  <c r="AL115" i="16"/>
  <c r="AL116" i="16"/>
  <c r="AL117" i="16"/>
  <c r="AL118" i="16"/>
  <c r="AL119" i="16"/>
  <c r="AL120" i="16"/>
  <c r="AL121" i="16"/>
  <c r="AL122" i="16"/>
  <c r="AL123" i="16"/>
  <c r="AL124" i="16"/>
  <c r="AL125" i="16"/>
  <c r="AL126" i="16"/>
  <c r="AL127" i="16"/>
  <c r="AL128" i="16"/>
  <c r="AL129" i="16"/>
  <c r="AL130" i="16"/>
  <c r="AL131" i="16"/>
  <c r="AL132" i="16"/>
  <c r="AL133" i="16"/>
  <c r="AL134" i="16"/>
  <c r="AL135" i="16"/>
  <c r="AL136" i="16"/>
  <c r="AL137" i="16"/>
  <c r="AL138" i="16"/>
  <c r="AL139" i="16"/>
  <c r="AL140" i="16"/>
  <c r="AL141" i="16"/>
  <c r="AL142" i="16"/>
  <c r="AL143" i="16"/>
  <c r="AL144" i="16"/>
  <c r="AL145" i="16"/>
  <c r="AL146" i="16"/>
  <c r="AL147" i="16"/>
  <c r="AL148" i="16"/>
  <c r="AL149" i="16"/>
  <c r="AL150" i="16"/>
  <c r="AL151" i="16"/>
  <c r="AL152" i="16"/>
  <c r="AL153" i="16"/>
  <c r="AL154" i="16"/>
  <c r="AL155" i="16"/>
  <c r="AL156" i="16"/>
  <c r="AL157" i="16"/>
  <c r="AL158" i="16"/>
  <c r="AL159" i="16"/>
  <c r="AL160" i="16"/>
  <c r="AL161" i="16"/>
  <c r="AL162" i="16"/>
  <c r="AL163" i="16"/>
  <c r="AL164" i="16"/>
  <c r="AL165" i="16"/>
  <c r="AL166" i="16"/>
  <c r="AL167" i="16"/>
  <c r="AL168" i="16"/>
  <c r="AL169" i="16"/>
  <c r="AL170" i="16"/>
  <c r="AL171" i="16"/>
  <c r="AL172" i="16"/>
  <c r="AL173" i="16"/>
  <c r="AL174" i="16"/>
  <c r="AL175" i="16"/>
  <c r="AL176" i="16"/>
  <c r="AL177" i="16"/>
  <c r="AL178" i="16"/>
  <c r="AL179" i="16"/>
  <c r="AL180" i="16"/>
  <c r="AL181" i="16"/>
  <c r="AL182" i="16"/>
  <c r="AL183" i="16"/>
  <c r="AL184" i="16"/>
  <c r="AL185" i="16"/>
  <c r="AL186" i="16"/>
  <c r="AL187" i="16"/>
  <c r="AL188" i="16"/>
  <c r="AL189" i="16"/>
  <c r="AL190" i="16"/>
  <c r="AL191" i="16"/>
  <c r="AL192" i="16"/>
  <c r="AL193" i="16"/>
  <c r="AL194" i="16"/>
  <c r="AL195" i="16"/>
  <c r="AL196" i="16"/>
  <c r="AL197" i="16"/>
  <c r="AL198" i="16"/>
  <c r="AL199" i="16"/>
  <c r="AL200" i="16"/>
  <c r="AL201" i="16"/>
  <c r="AH4" i="16"/>
  <c r="AH5" i="16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AH31" i="16"/>
  <c r="AH32" i="16"/>
  <c r="AH33" i="16"/>
  <c r="AH34" i="16"/>
  <c r="AH35" i="16"/>
  <c r="AH36" i="16"/>
  <c r="AH37" i="16"/>
  <c r="AH38" i="16"/>
  <c r="AH39" i="16"/>
  <c r="AH40" i="16"/>
  <c r="AH41" i="16"/>
  <c r="AH42" i="16"/>
  <c r="AH43" i="16"/>
  <c r="AH44" i="16"/>
  <c r="AH45" i="16"/>
  <c r="AH46" i="16"/>
  <c r="AH47" i="16"/>
  <c r="AH48" i="16"/>
  <c r="AH49" i="16"/>
  <c r="AH50" i="16"/>
  <c r="AH51" i="16"/>
  <c r="AH52" i="16"/>
  <c r="AH53" i="16"/>
  <c r="AH54" i="16"/>
  <c r="AH55" i="16"/>
  <c r="AH56" i="16"/>
  <c r="AH57" i="16"/>
  <c r="AH58" i="16"/>
  <c r="AH59" i="16"/>
  <c r="AH60" i="16"/>
  <c r="AH61" i="16"/>
  <c r="AH62" i="16"/>
  <c r="AH63" i="16"/>
  <c r="AH64" i="16"/>
  <c r="AH65" i="16"/>
  <c r="AH66" i="16"/>
  <c r="AH67" i="16"/>
  <c r="AH68" i="16"/>
  <c r="AH69" i="16"/>
  <c r="AH70" i="16"/>
  <c r="AH71" i="16"/>
  <c r="AH72" i="16"/>
  <c r="AH73" i="16"/>
  <c r="AH74" i="16"/>
  <c r="AH75" i="16"/>
  <c r="AH76" i="16"/>
  <c r="AH77" i="16"/>
  <c r="AH78" i="16"/>
  <c r="AH79" i="16"/>
  <c r="AH80" i="16"/>
  <c r="AH81" i="16"/>
  <c r="AH82" i="16"/>
  <c r="AH83" i="16"/>
  <c r="AH84" i="16"/>
  <c r="AH85" i="16"/>
  <c r="AH86" i="16"/>
  <c r="AH87" i="16"/>
  <c r="AH88" i="16"/>
  <c r="AH89" i="16"/>
  <c r="AH90" i="16"/>
  <c r="AH91" i="16"/>
  <c r="AH92" i="16"/>
  <c r="AH93" i="16"/>
  <c r="AH94" i="16"/>
  <c r="AH95" i="16"/>
  <c r="AH96" i="16"/>
  <c r="AH97" i="16"/>
  <c r="AH98" i="16"/>
  <c r="AH99" i="16"/>
  <c r="AH100" i="16"/>
  <c r="AH101" i="16"/>
  <c r="AH102" i="16"/>
  <c r="AH103" i="16"/>
  <c r="AH104" i="16"/>
  <c r="AH105" i="16"/>
  <c r="AH106" i="16"/>
  <c r="AH107" i="16"/>
  <c r="AH108" i="16"/>
  <c r="AH109" i="16"/>
  <c r="AH110" i="16"/>
  <c r="AH111" i="16"/>
  <c r="AH112" i="16"/>
  <c r="AH113" i="16"/>
  <c r="AH114" i="16"/>
  <c r="AH115" i="16"/>
  <c r="AH116" i="16"/>
  <c r="AH117" i="16"/>
  <c r="AH118" i="16"/>
  <c r="AH119" i="16"/>
  <c r="AH120" i="16"/>
  <c r="AH121" i="16"/>
  <c r="AH122" i="16"/>
  <c r="AH123" i="16"/>
  <c r="AH124" i="16"/>
  <c r="AH125" i="16"/>
  <c r="AH126" i="16"/>
  <c r="AH127" i="16"/>
  <c r="AH128" i="16"/>
  <c r="AH129" i="16"/>
  <c r="AH130" i="16"/>
  <c r="AH131" i="16"/>
  <c r="AH132" i="16"/>
  <c r="AH133" i="16"/>
  <c r="AH134" i="16"/>
  <c r="AH135" i="16"/>
  <c r="AH136" i="16"/>
  <c r="AH137" i="16"/>
  <c r="AH138" i="16"/>
  <c r="AH139" i="16"/>
  <c r="AH140" i="16"/>
  <c r="AH141" i="16"/>
  <c r="AH142" i="16"/>
  <c r="AH143" i="16"/>
  <c r="AH144" i="16"/>
  <c r="AH145" i="16"/>
  <c r="AH146" i="16"/>
  <c r="AH147" i="16"/>
  <c r="AH148" i="16"/>
  <c r="AH149" i="16"/>
  <c r="AH150" i="16"/>
  <c r="AH151" i="16"/>
  <c r="AH152" i="16"/>
  <c r="AH153" i="16"/>
  <c r="AH154" i="16"/>
  <c r="AH155" i="16"/>
  <c r="AH156" i="16"/>
  <c r="AH157" i="16"/>
  <c r="AH158" i="16"/>
  <c r="AH159" i="16"/>
  <c r="AH160" i="16"/>
  <c r="AH161" i="16"/>
  <c r="AH162" i="16"/>
  <c r="AH163" i="16"/>
  <c r="AH164" i="16"/>
  <c r="AH165" i="16"/>
  <c r="AH166" i="16"/>
  <c r="AH167" i="16"/>
  <c r="AH168" i="16"/>
  <c r="AH169" i="16"/>
  <c r="AH170" i="16"/>
  <c r="AH171" i="16"/>
  <c r="AH172" i="16"/>
  <c r="AH173" i="16"/>
  <c r="AH174" i="16"/>
  <c r="AH175" i="16"/>
  <c r="AH176" i="16"/>
  <c r="AH177" i="16"/>
  <c r="AH178" i="16"/>
  <c r="AH179" i="16"/>
  <c r="AH180" i="16"/>
  <c r="AH181" i="16"/>
  <c r="AH182" i="16"/>
  <c r="AH183" i="16"/>
  <c r="AH184" i="16"/>
  <c r="AH185" i="16"/>
  <c r="AH186" i="16"/>
  <c r="AH187" i="16"/>
  <c r="AH188" i="16"/>
  <c r="AH189" i="16"/>
  <c r="AH190" i="16"/>
  <c r="AH191" i="16"/>
  <c r="AH192" i="16"/>
  <c r="AH193" i="16"/>
  <c r="AH194" i="16"/>
  <c r="AH195" i="16"/>
  <c r="AH196" i="16"/>
  <c r="AH197" i="16"/>
  <c r="AH198" i="16"/>
  <c r="AH199" i="16"/>
  <c r="AH200" i="16"/>
  <c r="AH201" i="16"/>
  <c r="Y4" i="16"/>
  <c r="Y5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78" i="16"/>
  <c r="Y79" i="16"/>
  <c r="Y80" i="16"/>
  <c r="Y81" i="16"/>
  <c r="Y82" i="16"/>
  <c r="Y83" i="16"/>
  <c r="Y84" i="16"/>
  <c r="Y85" i="16"/>
  <c r="Y86" i="16"/>
  <c r="Y87" i="16"/>
  <c r="Y88" i="16"/>
  <c r="Y89" i="16"/>
  <c r="Y90" i="16"/>
  <c r="Y91" i="16"/>
  <c r="Y92" i="16"/>
  <c r="Y93" i="16"/>
  <c r="Y94" i="16"/>
  <c r="Y95" i="16"/>
  <c r="Y96" i="16"/>
  <c r="Y97" i="16"/>
  <c r="Y98" i="16"/>
  <c r="Y99" i="16"/>
  <c r="Y100" i="16"/>
  <c r="Y101" i="16"/>
  <c r="Y102" i="16"/>
  <c r="Y103" i="16"/>
  <c r="Y104" i="16"/>
  <c r="Y105" i="16"/>
  <c r="Y106" i="16"/>
  <c r="Y107" i="16"/>
  <c r="Y108" i="16"/>
  <c r="Y109" i="16"/>
  <c r="Y110" i="16"/>
  <c r="Y111" i="16"/>
  <c r="Y112" i="16"/>
  <c r="Y113" i="16"/>
  <c r="Y114" i="16"/>
  <c r="Y115" i="16"/>
  <c r="Y116" i="16"/>
  <c r="Y117" i="16"/>
  <c r="Y118" i="16"/>
  <c r="Y119" i="16"/>
  <c r="Y120" i="16"/>
  <c r="Y121" i="16"/>
  <c r="Y122" i="16"/>
  <c r="Y123" i="16"/>
  <c r="Y124" i="16"/>
  <c r="Y125" i="16"/>
  <c r="Y126" i="16"/>
  <c r="Y127" i="16"/>
  <c r="Y128" i="16"/>
  <c r="Y129" i="16"/>
  <c r="Y130" i="16"/>
  <c r="Y131" i="16"/>
  <c r="Y132" i="16"/>
  <c r="Y133" i="16"/>
  <c r="Y134" i="16"/>
  <c r="Y135" i="16"/>
  <c r="Y136" i="16"/>
  <c r="Y137" i="16"/>
  <c r="Y138" i="16"/>
  <c r="Y139" i="16"/>
  <c r="Y140" i="16"/>
  <c r="Y141" i="16"/>
  <c r="Y142" i="16"/>
  <c r="Y143" i="16"/>
  <c r="Y144" i="16"/>
  <c r="Y145" i="16"/>
  <c r="Y146" i="16"/>
  <c r="Y147" i="16"/>
  <c r="Y148" i="16"/>
  <c r="Y149" i="16"/>
  <c r="Y150" i="16"/>
  <c r="Y151" i="16"/>
  <c r="Y152" i="16"/>
  <c r="Y153" i="16"/>
  <c r="Y154" i="16"/>
  <c r="Y155" i="16"/>
  <c r="Y156" i="16"/>
  <c r="Y157" i="16"/>
  <c r="Y158" i="16"/>
  <c r="Y159" i="16"/>
  <c r="Y160" i="16"/>
  <c r="Y161" i="16"/>
  <c r="Y162" i="16"/>
  <c r="Y163" i="16"/>
  <c r="Y164" i="16"/>
  <c r="Y165" i="16"/>
  <c r="Y166" i="16"/>
  <c r="Y167" i="16"/>
  <c r="Y168" i="16"/>
  <c r="Y169" i="16"/>
  <c r="Y170" i="16"/>
  <c r="Y171" i="16"/>
  <c r="Y172" i="16"/>
  <c r="Y173" i="16"/>
  <c r="Y174" i="16"/>
  <c r="Y175" i="16"/>
  <c r="Y176" i="16"/>
  <c r="Y177" i="16"/>
  <c r="Y178" i="16"/>
  <c r="Y179" i="16"/>
  <c r="Y180" i="16"/>
  <c r="Y181" i="16"/>
  <c r="Y182" i="16"/>
  <c r="Y183" i="16"/>
  <c r="Y184" i="16"/>
  <c r="Y185" i="16"/>
  <c r="Y186" i="16"/>
  <c r="Y187" i="16"/>
  <c r="Y188" i="16"/>
  <c r="Y189" i="16"/>
  <c r="Y190" i="16"/>
  <c r="Y191" i="16"/>
  <c r="Y192" i="16"/>
  <c r="Y193" i="16"/>
  <c r="Y194" i="16"/>
  <c r="Y195" i="16"/>
  <c r="Y196" i="16"/>
  <c r="Y197" i="16"/>
  <c r="Y198" i="16"/>
  <c r="Y199" i="16"/>
  <c r="Y200" i="16"/>
  <c r="Y201" i="16"/>
  <c r="U4" i="16"/>
  <c r="U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1" i="16"/>
  <c r="U122" i="16"/>
  <c r="U123" i="16"/>
  <c r="U124" i="16"/>
  <c r="U125" i="16"/>
  <c r="U126" i="16"/>
  <c r="U127" i="16"/>
  <c r="U128" i="16"/>
  <c r="U129" i="16"/>
  <c r="U130" i="16"/>
  <c r="U131" i="16"/>
  <c r="U132" i="16"/>
  <c r="U133" i="16"/>
  <c r="U134" i="16"/>
  <c r="U135" i="16"/>
  <c r="U136" i="16"/>
  <c r="U137" i="16"/>
  <c r="U138" i="16"/>
  <c r="U139" i="16"/>
  <c r="U140" i="16"/>
  <c r="U141" i="16"/>
  <c r="U142" i="16"/>
  <c r="U143" i="16"/>
  <c r="U144" i="16"/>
  <c r="U145" i="16"/>
  <c r="U146" i="16"/>
  <c r="U147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75" i="16"/>
  <c r="U176" i="16"/>
  <c r="U177" i="16"/>
  <c r="U178" i="16"/>
  <c r="U179" i="16"/>
  <c r="U180" i="16"/>
  <c r="U181" i="16"/>
  <c r="U182" i="16"/>
  <c r="U183" i="16"/>
  <c r="U184" i="16"/>
  <c r="U185" i="16"/>
  <c r="U186" i="16"/>
  <c r="U187" i="16"/>
  <c r="U188" i="16"/>
  <c r="U189" i="16"/>
  <c r="U190" i="16"/>
  <c r="U191" i="16"/>
  <c r="U192" i="16"/>
  <c r="U193" i="16"/>
  <c r="U194" i="16"/>
  <c r="U195" i="16"/>
  <c r="U196" i="16"/>
  <c r="U197" i="16"/>
  <c r="U198" i="16"/>
  <c r="U199" i="16"/>
  <c r="U200" i="16"/>
  <c r="U201" i="16"/>
  <c r="Q4" i="16"/>
  <c r="Q5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5" i="16"/>
  <c r="Q66" i="16"/>
  <c r="Q67" i="16"/>
  <c r="Q68" i="16"/>
  <c r="Q69" i="16"/>
  <c r="Q70" i="16"/>
  <c r="Q71" i="16"/>
  <c r="Q72" i="16"/>
  <c r="Q73" i="16"/>
  <c r="Q74" i="16"/>
  <c r="Q75" i="16"/>
  <c r="Q76" i="16"/>
  <c r="Q77" i="16"/>
  <c r="Q78" i="16"/>
  <c r="Q79" i="16"/>
  <c r="Q80" i="16"/>
  <c r="Q81" i="16"/>
  <c r="Q82" i="16"/>
  <c r="Q83" i="16"/>
  <c r="Q84" i="16"/>
  <c r="Q85" i="16"/>
  <c r="Q86" i="16"/>
  <c r="Q87" i="16"/>
  <c r="Q88" i="16"/>
  <c r="Q89" i="16"/>
  <c r="Q90" i="16"/>
  <c r="Q91" i="16"/>
  <c r="Q92" i="16"/>
  <c r="Q93" i="16"/>
  <c r="Q94" i="16"/>
  <c r="Q95" i="16"/>
  <c r="Q96" i="16"/>
  <c r="Q97" i="16"/>
  <c r="Q98" i="16"/>
  <c r="Q99" i="16"/>
  <c r="Q100" i="16"/>
  <c r="Q101" i="16"/>
  <c r="Q102" i="16"/>
  <c r="Q103" i="16"/>
  <c r="Q104" i="16"/>
  <c r="Q105" i="16"/>
  <c r="Q106" i="16"/>
  <c r="Q107" i="16"/>
  <c r="Q108" i="16"/>
  <c r="Q109" i="16"/>
  <c r="Q110" i="16"/>
  <c r="Q111" i="16"/>
  <c r="Q112" i="16"/>
  <c r="Q113" i="16"/>
  <c r="Q114" i="16"/>
  <c r="Q115" i="16"/>
  <c r="Q116" i="16"/>
  <c r="Q117" i="16"/>
  <c r="Q118" i="16"/>
  <c r="Q119" i="16"/>
  <c r="Q120" i="16"/>
  <c r="Q121" i="16"/>
  <c r="Q122" i="16"/>
  <c r="Q123" i="16"/>
  <c r="Q124" i="16"/>
  <c r="Q125" i="16"/>
  <c r="Q126" i="16"/>
  <c r="Q127" i="16"/>
  <c r="Q128" i="16"/>
  <c r="Q129" i="16"/>
  <c r="Q130" i="16"/>
  <c r="Q131" i="16"/>
  <c r="Q132" i="16"/>
  <c r="Q133" i="16"/>
  <c r="Q134" i="16"/>
  <c r="Q135" i="16"/>
  <c r="Q136" i="16"/>
  <c r="Q137" i="16"/>
  <c r="Q138" i="16"/>
  <c r="Q139" i="16"/>
  <c r="Q140" i="16"/>
  <c r="Q141" i="16"/>
  <c r="Q142" i="16"/>
  <c r="Q143" i="16"/>
  <c r="Q144" i="16"/>
  <c r="Q145" i="16"/>
  <c r="Q146" i="16"/>
  <c r="Q147" i="16"/>
  <c r="Q148" i="16"/>
  <c r="Q149" i="16"/>
  <c r="Q150" i="16"/>
  <c r="Q151" i="16"/>
  <c r="Q152" i="16"/>
  <c r="Q153" i="16"/>
  <c r="Q154" i="16"/>
  <c r="Q155" i="16"/>
  <c r="Q156" i="16"/>
  <c r="Q157" i="16"/>
  <c r="Q158" i="16"/>
  <c r="Q159" i="16"/>
  <c r="Q160" i="16"/>
  <c r="Q161" i="16"/>
  <c r="Q162" i="16"/>
  <c r="Q163" i="16"/>
  <c r="Q164" i="16"/>
  <c r="Q165" i="16"/>
  <c r="Q166" i="16"/>
  <c r="Q167" i="16"/>
  <c r="Q168" i="16"/>
  <c r="Q169" i="16"/>
  <c r="Q170" i="16"/>
  <c r="Q171" i="16"/>
  <c r="Q172" i="16"/>
  <c r="Q173" i="16"/>
  <c r="Q174" i="16"/>
  <c r="Q175" i="16"/>
  <c r="Q176" i="16"/>
  <c r="Q177" i="16"/>
  <c r="Q178" i="16"/>
  <c r="Q179" i="16"/>
  <c r="Q180" i="16"/>
  <c r="Q181" i="16"/>
  <c r="Q182" i="16"/>
  <c r="Q183" i="16"/>
  <c r="Q184" i="16"/>
  <c r="Q185" i="16"/>
  <c r="Q186" i="16"/>
  <c r="Q187" i="16"/>
  <c r="Q188" i="16"/>
  <c r="Q189" i="16"/>
  <c r="Q190" i="16"/>
  <c r="Q191" i="16"/>
  <c r="Q192" i="16"/>
  <c r="Q193" i="16"/>
  <c r="Q194" i="16"/>
  <c r="Q195" i="16"/>
  <c r="Q196" i="16"/>
  <c r="Q197" i="16"/>
  <c r="Q198" i="16"/>
  <c r="Q199" i="16"/>
  <c r="Q200" i="16"/>
  <c r="Q201" i="16"/>
  <c r="BG4" i="15"/>
  <c r="BG5" i="15"/>
  <c r="BG6" i="15"/>
  <c r="BG7" i="15"/>
  <c r="BG8" i="15"/>
  <c r="BG9" i="15"/>
  <c r="BG10" i="15"/>
  <c r="BG11" i="15"/>
  <c r="BG12" i="15"/>
  <c r="BG13" i="15"/>
  <c r="BG14" i="15"/>
  <c r="BG15" i="15"/>
  <c r="BG16" i="15"/>
  <c r="BG17" i="15"/>
  <c r="BG18" i="15"/>
  <c r="BG19" i="15"/>
  <c r="BG20" i="15"/>
  <c r="BG21" i="15"/>
  <c r="BG22" i="15"/>
  <c r="BG23" i="15"/>
  <c r="BG24" i="15"/>
  <c r="BG25" i="15"/>
  <c r="BG26" i="15"/>
  <c r="BG27" i="15"/>
  <c r="BG28" i="15"/>
  <c r="BG29" i="15"/>
  <c r="BG30" i="15"/>
  <c r="BG31" i="15"/>
  <c r="BG32" i="15"/>
  <c r="BG33" i="15"/>
  <c r="BG34" i="15"/>
  <c r="BG35" i="15"/>
  <c r="BG36" i="15"/>
  <c r="BG37" i="15"/>
  <c r="BG38" i="15"/>
  <c r="BG39" i="15"/>
  <c r="BG40" i="15"/>
  <c r="BG41" i="15"/>
  <c r="BG42" i="15"/>
  <c r="BG43" i="15"/>
  <c r="BG44" i="15"/>
  <c r="BG45" i="15"/>
  <c r="BG46" i="15"/>
  <c r="BG47" i="15"/>
  <c r="BG48" i="15"/>
  <c r="BG49" i="15"/>
  <c r="BG50" i="15"/>
  <c r="BG51" i="15"/>
  <c r="BG52" i="15"/>
  <c r="BG53" i="15"/>
  <c r="BG54" i="15"/>
  <c r="BG55" i="15"/>
  <c r="BG56" i="15"/>
  <c r="BG57" i="15"/>
  <c r="BG58" i="15"/>
  <c r="BG59" i="15"/>
  <c r="BG60" i="15"/>
  <c r="BG61" i="15"/>
  <c r="BG62" i="15"/>
  <c r="BG63" i="15"/>
  <c r="BG64" i="15"/>
  <c r="BG65" i="15"/>
  <c r="BG66" i="15"/>
  <c r="BG67" i="15"/>
  <c r="BG68" i="15"/>
  <c r="BG69" i="15"/>
  <c r="BG70" i="15"/>
  <c r="BG71" i="15"/>
  <c r="BG72" i="15"/>
  <c r="BG73" i="15"/>
  <c r="BG74" i="15"/>
  <c r="BG75" i="15"/>
  <c r="BG76" i="15"/>
  <c r="BG77" i="15"/>
  <c r="BG78" i="15"/>
  <c r="BG79" i="15"/>
  <c r="BG80" i="15"/>
  <c r="BG81" i="15"/>
  <c r="BG82" i="15"/>
  <c r="BG83" i="15"/>
  <c r="BG84" i="15"/>
  <c r="BG85" i="15"/>
  <c r="BG86" i="15"/>
  <c r="BG87" i="15"/>
  <c r="BG88" i="15"/>
  <c r="BG89" i="15"/>
  <c r="BG90" i="15"/>
  <c r="BG91" i="15"/>
  <c r="BG92" i="15"/>
  <c r="BG93" i="15"/>
  <c r="BG94" i="15"/>
  <c r="BG95" i="15"/>
  <c r="BG96" i="15"/>
  <c r="BG97" i="15"/>
  <c r="BG98" i="15"/>
  <c r="BG99" i="15"/>
  <c r="BG100" i="15"/>
  <c r="BG101" i="15"/>
  <c r="BG102" i="15"/>
  <c r="BG103" i="15"/>
  <c r="BG104" i="15"/>
  <c r="BG105" i="15"/>
  <c r="BG106" i="15"/>
  <c r="BG107" i="15"/>
  <c r="BG108" i="15"/>
  <c r="BG109" i="15"/>
  <c r="BG110" i="15"/>
  <c r="BG111" i="15"/>
  <c r="BG112" i="15"/>
  <c r="BG113" i="15"/>
  <c r="BG114" i="15"/>
  <c r="BG115" i="15"/>
  <c r="BG116" i="15"/>
  <c r="BG117" i="15"/>
  <c r="BG118" i="15"/>
  <c r="BG119" i="15"/>
  <c r="BG120" i="15"/>
  <c r="BG121" i="15"/>
  <c r="BG122" i="15"/>
  <c r="BG123" i="15"/>
  <c r="BG124" i="15"/>
  <c r="BG125" i="15"/>
  <c r="BG126" i="15"/>
  <c r="BG127" i="15"/>
  <c r="BG128" i="15"/>
  <c r="BG129" i="15"/>
  <c r="BG130" i="15"/>
  <c r="BG131" i="15"/>
  <c r="BG132" i="15"/>
  <c r="BG133" i="15"/>
  <c r="BG134" i="15"/>
  <c r="BG135" i="15"/>
  <c r="BG136" i="15"/>
  <c r="BG137" i="15"/>
  <c r="BG138" i="15"/>
  <c r="BG139" i="15"/>
  <c r="BG140" i="15"/>
  <c r="BG141" i="15"/>
  <c r="BG142" i="15"/>
  <c r="BG143" i="15"/>
  <c r="BG144" i="15"/>
  <c r="BG145" i="15"/>
  <c r="BG146" i="15"/>
  <c r="BG147" i="15"/>
  <c r="BG148" i="15"/>
  <c r="BG149" i="15"/>
  <c r="BG150" i="15"/>
  <c r="BG151" i="15"/>
  <c r="BG152" i="15"/>
  <c r="BG153" i="15"/>
  <c r="BG154" i="15"/>
  <c r="BG155" i="15"/>
  <c r="BG156" i="15"/>
  <c r="BG157" i="15"/>
  <c r="BG158" i="15"/>
  <c r="BG159" i="15"/>
  <c r="BG160" i="15"/>
  <c r="BG161" i="15"/>
  <c r="BG162" i="15"/>
  <c r="BG163" i="15"/>
  <c r="BG164" i="15"/>
  <c r="BG165" i="15"/>
  <c r="BG166" i="15"/>
  <c r="BG167" i="15"/>
  <c r="BG168" i="15"/>
  <c r="BG169" i="15"/>
  <c r="BG170" i="15"/>
  <c r="BG171" i="15"/>
  <c r="BG172" i="15"/>
  <c r="BG173" i="15"/>
  <c r="BG174" i="15"/>
  <c r="BG175" i="15"/>
  <c r="BG176" i="15"/>
  <c r="BG177" i="15"/>
  <c r="BG178" i="15"/>
  <c r="BG179" i="15"/>
  <c r="BG180" i="15"/>
  <c r="BG181" i="15"/>
  <c r="BG182" i="15"/>
  <c r="BG183" i="15"/>
  <c r="BG184" i="15"/>
  <c r="BG185" i="15"/>
  <c r="BG186" i="15"/>
  <c r="BG187" i="15"/>
  <c r="BG188" i="15"/>
  <c r="BG189" i="15"/>
  <c r="BG190" i="15"/>
  <c r="BG191" i="15"/>
  <c r="BG192" i="15"/>
  <c r="BG193" i="15"/>
  <c r="BG194" i="15"/>
  <c r="BG195" i="15"/>
  <c r="BG196" i="15"/>
  <c r="BG197" i="15"/>
  <c r="BG198" i="15"/>
  <c r="BG199" i="15"/>
  <c r="BG200" i="15"/>
  <c r="BG201" i="15"/>
  <c r="BC4" i="15"/>
  <c r="BC5" i="15"/>
  <c r="BC6" i="15"/>
  <c r="BC7" i="15"/>
  <c r="BC8" i="15"/>
  <c r="BC9" i="15"/>
  <c r="BC10" i="15"/>
  <c r="BC11" i="15"/>
  <c r="BC12" i="15"/>
  <c r="BC13" i="15"/>
  <c r="BC14" i="15"/>
  <c r="BC15" i="15"/>
  <c r="BC16" i="15"/>
  <c r="BC17" i="15"/>
  <c r="BC18" i="15"/>
  <c r="BC19" i="15"/>
  <c r="BC20" i="15"/>
  <c r="BC21" i="15"/>
  <c r="BC22" i="15"/>
  <c r="BC23" i="15"/>
  <c r="BC24" i="15"/>
  <c r="BC25" i="15"/>
  <c r="BC26" i="15"/>
  <c r="BC27" i="15"/>
  <c r="BC28" i="15"/>
  <c r="BC29" i="15"/>
  <c r="BC30" i="15"/>
  <c r="BC31" i="15"/>
  <c r="BC32" i="15"/>
  <c r="BC33" i="15"/>
  <c r="BC34" i="15"/>
  <c r="BC35" i="15"/>
  <c r="BC36" i="15"/>
  <c r="BC37" i="15"/>
  <c r="BC38" i="15"/>
  <c r="BC39" i="15"/>
  <c r="BC40" i="15"/>
  <c r="BC41" i="15"/>
  <c r="BC42" i="15"/>
  <c r="BC43" i="15"/>
  <c r="BC44" i="15"/>
  <c r="BC45" i="15"/>
  <c r="BC46" i="15"/>
  <c r="BC47" i="15"/>
  <c r="BC48" i="15"/>
  <c r="BC49" i="15"/>
  <c r="BC50" i="15"/>
  <c r="BC51" i="15"/>
  <c r="BC52" i="15"/>
  <c r="BC53" i="15"/>
  <c r="BC54" i="15"/>
  <c r="BC55" i="15"/>
  <c r="BC56" i="15"/>
  <c r="BC57" i="15"/>
  <c r="BC58" i="15"/>
  <c r="BC59" i="15"/>
  <c r="BC60" i="15"/>
  <c r="BC61" i="15"/>
  <c r="BC62" i="15"/>
  <c r="BC63" i="15"/>
  <c r="BC64" i="15"/>
  <c r="BC65" i="15"/>
  <c r="BC66" i="15"/>
  <c r="BC67" i="15"/>
  <c r="BC68" i="15"/>
  <c r="BC69" i="15"/>
  <c r="BC70" i="15"/>
  <c r="BC71" i="15"/>
  <c r="BC72" i="15"/>
  <c r="BC73" i="15"/>
  <c r="BC74" i="15"/>
  <c r="BC75" i="15"/>
  <c r="BC76" i="15"/>
  <c r="BC77" i="15"/>
  <c r="BC78" i="15"/>
  <c r="BC79" i="15"/>
  <c r="BC80" i="15"/>
  <c r="BC81" i="15"/>
  <c r="BC82" i="15"/>
  <c r="BC83" i="15"/>
  <c r="BC84" i="15"/>
  <c r="BC85" i="15"/>
  <c r="BC86" i="15"/>
  <c r="BC87" i="15"/>
  <c r="BC88" i="15"/>
  <c r="BC89" i="15"/>
  <c r="BC90" i="15"/>
  <c r="BC91" i="15"/>
  <c r="BC92" i="15"/>
  <c r="BC93" i="15"/>
  <c r="BC94" i="15"/>
  <c r="BC95" i="15"/>
  <c r="BC96" i="15"/>
  <c r="BC97" i="15"/>
  <c r="BC98" i="15"/>
  <c r="BC99" i="15"/>
  <c r="BC100" i="15"/>
  <c r="BC101" i="15"/>
  <c r="BC102" i="15"/>
  <c r="BC103" i="15"/>
  <c r="BC104" i="15"/>
  <c r="BC105" i="15"/>
  <c r="BC106" i="15"/>
  <c r="BC107" i="15"/>
  <c r="BC108" i="15"/>
  <c r="BC109" i="15"/>
  <c r="BC110" i="15"/>
  <c r="BC111" i="15"/>
  <c r="BC112" i="15"/>
  <c r="BC113" i="15"/>
  <c r="BC114" i="15"/>
  <c r="BC115" i="15"/>
  <c r="BC116" i="15"/>
  <c r="BC117" i="15"/>
  <c r="BC118" i="15"/>
  <c r="BC119" i="15"/>
  <c r="BC120" i="15"/>
  <c r="BC121" i="15"/>
  <c r="BC122" i="15"/>
  <c r="BC123" i="15"/>
  <c r="BC124" i="15"/>
  <c r="BC125" i="15"/>
  <c r="BC126" i="15"/>
  <c r="BC127" i="15"/>
  <c r="BC128" i="15"/>
  <c r="BC129" i="15"/>
  <c r="BC130" i="15"/>
  <c r="BC131" i="15"/>
  <c r="BC132" i="15"/>
  <c r="BC133" i="15"/>
  <c r="BC134" i="15"/>
  <c r="BC135" i="15"/>
  <c r="BC136" i="15"/>
  <c r="BC137" i="15"/>
  <c r="BC138" i="15"/>
  <c r="BC139" i="15"/>
  <c r="BC140" i="15"/>
  <c r="BC141" i="15"/>
  <c r="BC142" i="15"/>
  <c r="BC143" i="15"/>
  <c r="BC144" i="15"/>
  <c r="BC145" i="15"/>
  <c r="BC146" i="15"/>
  <c r="BC147" i="15"/>
  <c r="BC148" i="15"/>
  <c r="BC149" i="15"/>
  <c r="BC150" i="15"/>
  <c r="BC151" i="15"/>
  <c r="BC152" i="15"/>
  <c r="BC153" i="15"/>
  <c r="BC154" i="15"/>
  <c r="BC155" i="15"/>
  <c r="BC156" i="15"/>
  <c r="BC157" i="15"/>
  <c r="BC158" i="15"/>
  <c r="BC159" i="15"/>
  <c r="BC160" i="15"/>
  <c r="BC161" i="15"/>
  <c r="BC162" i="15"/>
  <c r="BC163" i="15"/>
  <c r="BC164" i="15"/>
  <c r="BC165" i="15"/>
  <c r="BC166" i="15"/>
  <c r="BC167" i="15"/>
  <c r="BC168" i="15"/>
  <c r="BC169" i="15"/>
  <c r="BC170" i="15"/>
  <c r="BC171" i="15"/>
  <c r="BC172" i="15"/>
  <c r="BC173" i="15"/>
  <c r="BC174" i="15"/>
  <c r="BC175" i="15"/>
  <c r="BC176" i="15"/>
  <c r="BC177" i="15"/>
  <c r="BC178" i="15"/>
  <c r="BC179" i="15"/>
  <c r="BC180" i="15"/>
  <c r="BC181" i="15"/>
  <c r="BC182" i="15"/>
  <c r="BC183" i="15"/>
  <c r="BC184" i="15"/>
  <c r="BC185" i="15"/>
  <c r="BC186" i="15"/>
  <c r="BC187" i="15"/>
  <c r="BC188" i="15"/>
  <c r="BC189" i="15"/>
  <c r="BC190" i="15"/>
  <c r="BC191" i="15"/>
  <c r="BC192" i="15"/>
  <c r="BC193" i="15"/>
  <c r="BC194" i="15"/>
  <c r="BC195" i="15"/>
  <c r="BC196" i="15"/>
  <c r="BC197" i="15"/>
  <c r="BC198" i="15"/>
  <c r="BC199" i="15"/>
  <c r="BC200" i="15"/>
  <c r="BC201" i="15"/>
  <c r="AY4" i="15"/>
  <c r="AY5" i="15"/>
  <c r="AY6" i="15"/>
  <c r="AY7" i="15"/>
  <c r="AY8" i="15"/>
  <c r="AY9" i="15"/>
  <c r="AY10" i="15"/>
  <c r="AY11" i="15"/>
  <c r="AY12" i="15"/>
  <c r="AY13" i="15"/>
  <c r="AY14" i="15"/>
  <c r="AY15" i="15"/>
  <c r="AY16" i="15"/>
  <c r="AY17" i="15"/>
  <c r="AY18" i="15"/>
  <c r="AY19" i="15"/>
  <c r="AY20" i="15"/>
  <c r="AY21" i="15"/>
  <c r="AY22" i="15"/>
  <c r="AY23" i="15"/>
  <c r="AY24" i="15"/>
  <c r="AY25" i="15"/>
  <c r="AY26" i="15"/>
  <c r="AY27" i="15"/>
  <c r="AY28" i="15"/>
  <c r="AY29" i="15"/>
  <c r="AY30" i="15"/>
  <c r="AY31" i="15"/>
  <c r="AY32" i="15"/>
  <c r="AY33" i="15"/>
  <c r="AY34" i="15"/>
  <c r="AY35" i="15"/>
  <c r="AY36" i="15"/>
  <c r="AY37" i="15"/>
  <c r="AY38" i="15"/>
  <c r="AY39" i="15"/>
  <c r="AY40" i="15"/>
  <c r="AY41" i="15"/>
  <c r="AY42" i="15"/>
  <c r="AY43" i="15"/>
  <c r="AY44" i="15"/>
  <c r="AY45" i="15"/>
  <c r="AY46" i="15"/>
  <c r="AY47" i="15"/>
  <c r="AY48" i="15"/>
  <c r="AY49" i="15"/>
  <c r="AY50" i="15"/>
  <c r="AY51" i="15"/>
  <c r="AY52" i="15"/>
  <c r="AY53" i="15"/>
  <c r="AY54" i="15"/>
  <c r="AY55" i="15"/>
  <c r="AY56" i="15"/>
  <c r="AY57" i="15"/>
  <c r="AY58" i="15"/>
  <c r="AY59" i="15"/>
  <c r="AY60" i="15"/>
  <c r="AY61" i="15"/>
  <c r="AY62" i="15"/>
  <c r="AY63" i="15"/>
  <c r="AY64" i="15"/>
  <c r="AY65" i="15"/>
  <c r="AY66" i="15"/>
  <c r="AY67" i="15"/>
  <c r="AY68" i="15"/>
  <c r="AY69" i="15"/>
  <c r="AY70" i="15"/>
  <c r="AY71" i="15"/>
  <c r="AY72" i="15"/>
  <c r="AY73" i="15"/>
  <c r="AY74" i="15"/>
  <c r="AY75" i="15"/>
  <c r="AY76" i="15"/>
  <c r="AY77" i="15"/>
  <c r="AY78" i="15"/>
  <c r="AY79" i="15"/>
  <c r="AY80" i="15"/>
  <c r="AY81" i="15"/>
  <c r="AY82" i="15"/>
  <c r="AY83" i="15"/>
  <c r="AY84" i="15"/>
  <c r="AY85" i="15"/>
  <c r="AY86" i="15"/>
  <c r="AY87" i="15"/>
  <c r="AY88" i="15"/>
  <c r="AY89" i="15"/>
  <c r="AY90" i="15"/>
  <c r="AY91" i="15"/>
  <c r="AY92" i="15"/>
  <c r="AY93" i="15"/>
  <c r="AY94" i="15"/>
  <c r="AY95" i="15"/>
  <c r="AY96" i="15"/>
  <c r="AY97" i="15"/>
  <c r="AY98" i="15"/>
  <c r="AY99" i="15"/>
  <c r="AY100" i="15"/>
  <c r="AY101" i="15"/>
  <c r="AY102" i="15"/>
  <c r="AY103" i="15"/>
  <c r="AY104" i="15"/>
  <c r="AY105" i="15"/>
  <c r="AY106" i="15"/>
  <c r="AY107" i="15"/>
  <c r="AY108" i="15"/>
  <c r="AY109" i="15"/>
  <c r="AY110" i="15"/>
  <c r="AY111" i="15"/>
  <c r="AY112" i="15"/>
  <c r="AY113" i="15"/>
  <c r="AY114" i="15"/>
  <c r="AY115" i="15"/>
  <c r="AY116" i="15"/>
  <c r="AY117" i="15"/>
  <c r="AY118" i="15"/>
  <c r="AY119" i="15"/>
  <c r="AY120" i="15"/>
  <c r="AY121" i="15"/>
  <c r="AY122" i="15"/>
  <c r="AY123" i="15"/>
  <c r="AY124" i="15"/>
  <c r="AY125" i="15"/>
  <c r="AY126" i="15"/>
  <c r="AY127" i="15"/>
  <c r="AY128" i="15"/>
  <c r="AY129" i="15"/>
  <c r="AY130" i="15"/>
  <c r="AY131" i="15"/>
  <c r="AY132" i="15"/>
  <c r="AY133" i="15"/>
  <c r="AY134" i="15"/>
  <c r="AY135" i="15"/>
  <c r="AY136" i="15"/>
  <c r="AY137" i="15"/>
  <c r="AY138" i="15"/>
  <c r="AY139" i="15"/>
  <c r="AY140" i="15"/>
  <c r="AY141" i="15"/>
  <c r="AY142" i="15"/>
  <c r="AY143" i="15"/>
  <c r="AY144" i="15"/>
  <c r="AY145" i="15"/>
  <c r="AY146" i="15"/>
  <c r="AY147" i="15"/>
  <c r="AY148" i="15"/>
  <c r="AY149" i="15"/>
  <c r="AY150" i="15"/>
  <c r="AY151" i="15"/>
  <c r="AY152" i="15"/>
  <c r="AY153" i="15"/>
  <c r="AY154" i="15"/>
  <c r="AY155" i="15"/>
  <c r="AY156" i="15"/>
  <c r="AY157" i="15"/>
  <c r="AY158" i="15"/>
  <c r="AY159" i="15"/>
  <c r="AY160" i="15"/>
  <c r="AY161" i="15"/>
  <c r="AY162" i="15"/>
  <c r="AY163" i="15"/>
  <c r="AY164" i="15"/>
  <c r="AY165" i="15"/>
  <c r="AY166" i="15"/>
  <c r="AY167" i="15"/>
  <c r="AY168" i="15"/>
  <c r="AY169" i="15"/>
  <c r="AY170" i="15"/>
  <c r="AY171" i="15"/>
  <c r="AY172" i="15"/>
  <c r="AY173" i="15"/>
  <c r="AY174" i="15"/>
  <c r="AY175" i="15"/>
  <c r="AY176" i="15"/>
  <c r="AY177" i="15"/>
  <c r="AY178" i="15"/>
  <c r="AY179" i="15"/>
  <c r="AY180" i="15"/>
  <c r="AY181" i="15"/>
  <c r="AY182" i="15"/>
  <c r="AY183" i="15"/>
  <c r="AY184" i="15"/>
  <c r="AY185" i="15"/>
  <c r="AY186" i="15"/>
  <c r="AY187" i="15"/>
  <c r="AY188" i="15"/>
  <c r="AY189" i="15"/>
  <c r="AY190" i="15"/>
  <c r="AY191" i="15"/>
  <c r="AY192" i="15"/>
  <c r="AY193" i="15"/>
  <c r="AY194" i="15"/>
  <c r="AY195" i="15"/>
  <c r="AY196" i="15"/>
  <c r="AY197" i="15"/>
  <c r="AY198" i="15"/>
  <c r="AY199" i="15"/>
  <c r="AY200" i="15"/>
  <c r="AY201" i="15"/>
  <c r="AP4" i="15"/>
  <c r="AP5" i="15"/>
  <c r="AP6" i="15"/>
  <c r="AP7" i="15"/>
  <c r="AP8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P46" i="15"/>
  <c r="AP47" i="15"/>
  <c r="AP48" i="15"/>
  <c r="AP49" i="15"/>
  <c r="AP50" i="15"/>
  <c r="AP51" i="15"/>
  <c r="AP52" i="15"/>
  <c r="AP53" i="15"/>
  <c r="AP54" i="15"/>
  <c r="AP55" i="15"/>
  <c r="AP56" i="15"/>
  <c r="AP57" i="15"/>
  <c r="AP58" i="15"/>
  <c r="AP59" i="15"/>
  <c r="AP60" i="15"/>
  <c r="AP61" i="15"/>
  <c r="AP62" i="15"/>
  <c r="AP63" i="15"/>
  <c r="AP64" i="15"/>
  <c r="AP65" i="15"/>
  <c r="AP66" i="15"/>
  <c r="AP67" i="15"/>
  <c r="AP68" i="15"/>
  <c r="AP69" i="15"/>
  <c r="AP70" i="15"/>
  <c r="AP71" i="15"/>
  <c r="AP72" i="15"/>
  <c r="AP73" i="15"/>
  <c r="AP74" i="15"/>
  <c r="AP75" i="15"/>
  <c r="AP76" i="15"/>
  <c r="AP77" i="15"/>
  <c r="AP78" i="15"/>
  <c r="AP79" i="15"/>
  <c r="AP80" i="15"/>
  <c r="AP81" i="15"/>
  <c r="AP82" i="15"/>
  <c r="AP83" i="15"/>
  <c r="AP84" i="15"/>
  <c r="AP85" i="15"/>
  <c r="AP86" i="15"/>
  <c r="AP87" i="15"/>
  <c r="AP88" i="15"/>
  <c r="AP89" i="15"/>
  <c r="AP90" i="15"/>
  <c r="AP91" i="15"/>
  <c r="AP92" i="15"/>
  <c r="AP93" i="15"/>
  <c r="AP94" i="15"/>
  <c r="AP95" i="15"/>
  <c r="AP96" i="15"/>
  <c r="AP97" i="15"/>
  <c r="AP98" i="15"/>
  <c r="AP99" i="15"/>
  <c r="AP100" i="15"/>
  <c r="AP101" i="15"/>
  <c r="AP102" i="15"/>
  <c r="AP103" i="15"/>
  <c r="AP104" i="15"/>
  <c r="AP105" i="15"/>
  <c r="AP106" i="15"/>
  <c r="AP107" i="15"/>
  <c r="AP108" i="15"/>
  <c r="AP109" i="15"/>
  <c r="AP110" i="15"/>
  <c r="AP111" i="15"/>
  <c r="AP112" i="15"/>
  <c r="AP113" i="15"/>
  <c r="AP114" i="15"/>
  <c r="AP115" i="15"/>
  <c r="AP116" i="15"/>
  <c r="AP117" i="15"/>
  <c r="AP118" i="15"/>
  <c r="AP119" i="15"/>
  <c r="AP120" i="15"/>
  <c r="AP121" i="15"/>
  <c r="AP122" i="15"/>
  <c r="AP123" i="15"/>
  <c r="AP124" i="15"/>
  <c r="AP125" i="15"/>
  <c r="AP126" i="15"/>
  <c r="AP127" i="15"/>
  <c r="AP128" i="15"/>
  <c r="AP129" i="15"/>
  <c r="AP130" i="15"/>
  <c r="AP131" i="15"/>
  <c r="AP132" i="15"/>
  <c r="AP133" i="15"/>
  <c r="AP134" i="15"/>
  <c r="AP135" i="15"/>
  <c r="AP136" i="15"/>
  <c r="AP137" i="15"/>
  <c r="AP138" i="15"/>
  <c r="AP139" i="15"/>
  <c r="AP140" i="15"/>
  <c r="AP141" i="15"/>
  <c r="AP142" i="15"/>
  <c r="AP143" i="15"/>
  <c r="AP144" i="15"/>
  <c r="AP145" i="15"/>
  <c r="AP146" i="15"/>
  <c r="AP147" i="15"/>
  <c r="AP148" i="15"/>
  <c r="AP149" i="15"/>
  <c r="AP150" i="15"/>
  <c r="AP151" i="15"/>
  <c r="AP152" i="15"/>
  <c r="AP153" i="15"/>
  <c r="AP154" i="15"/>
  <c r="AP155" i="15"/>
  <c r="AP156" i="15"/>
  <c r="AP157" i="15"/>
  <c r="AP158" i="15"/>
  <c r="AP159" i="15"/>
  <c r="AP160" i="15"/>
  <c r="AP161" i="15"/>
  <c r="AP162" i="15"/>
  <c r="AP163" i="15"/>
  <c r="AP164" i="15"/>
  <c r="AP165" i="15"/>
  <c r="AP166" i="15"/>
  <c r="AP167" i="15"/>
  <c r="AP168" i="15"/>
  <c r="AP169" i="15"/>
  <c r="AP170" i="15"/>
  <c r="AP171" i="15"/>
  <c r="AP172" i="15"/>
  <c r="AP173" i="15"/>
  <c r="AP174" i="15"/>
  <c r="AP175" i="15"/>
  <c r="AP176" i="15"/>
  <c r="AP177" i="15"/>
  <c r="AP178" i="15"/>
  <c r="AP179" i="15"/>
  <c r="AP180" i="15"/>
  <c r="AP181" i="15"/>
  <c r="AP182" i="15"/>
  <c r="AP183" i="15"/>
  <c r="AP184" i="15"/>
  <c r="AP185" i="15"/>
  <c r="AP186" i="15"/>
  <c r="AP187" i="15"/>
  <c r="AP188" i="15"/>
  <c r="AP189" i="15"/>
  <c r="AP190" i="15"/>
  <c r="AP191" i="15"/>
  <c r="AP192" i="15"/>
  <c r="AP193" i="15"/>
  <c r="AP194" i="15"/>
  <c r="AP195" i="15"/>
  <c r="AP196" i="15"/>
  <c r="AP197" i="15"/>
  <c r="AP198" i="15"/>
  <c r="AP199" i="15"/>
  <c r="AP200" i="15"/>
  <c r="AP201" i="15"/>
  <c r="AL5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L35" i="15"/>
  <c r="AL36" i="15"/>
  <c r="AL37" i="15"/>
  <c r="AL38" i="15"/>
  <c r="AL39" i="15"/>
  <c r="AL40" i="15"/>
  <c r="AL41" i="15"/>
  <c r="AL42" i="15"/>
  <c r="AL43" i="15"/>
  <c r="AL44" i="15"/>
  <c r="AL45" i="15"/>
  <c r="AL46" i="15"/>
  <c r="AL47" i="15"/>
  <c r="AL48" i="15"/>
  <c r="AL49" i="15"/>
  <c r="AL50" i="15"/>
  <c r="AL51" i="15"/>
  <c r="AL52" i="15"/>
  <c r="AL53" i="15"/>
  <c r="AL54" i="15"/>
  <c r="AL55" i="15"/>
  <c r="AL56" i="15"/>
  <c r="AL57" i="15"/>
  <c r="AL58" i="15"/>
  <c r="AL59" i="15"/>
  <c r="AL60" i="15"/>
  <c r="AL61" i="15"/>
  <c r="AL62" i="15"/>
  <c r="AL63" i="15"/>
  <c r="AL64" i="15"/>
  <c r="AL65" i="15"/>
  <c r="AL66" i="15"/>
  <c r="AL67" i="15"/>
  <c r="AL68" i="15"/>
  <c r="AL69" i="15"/>
  <c r="AL70" i="15"/>
  <c r="AL71" i="15"/>
  <c r="AL72" i="15"/>
  <c r="AL73" i="15"/>
  <c r="AL74" i="15"/>
  <c r="AL75" i="15"/>
  <c r="AL76" i="15"/>
  <c r="AL77" i="15"/>
  <c r="AL78" i="15"/>
  <c r="AL79" i="15"/>
  <c r="AL80" i="15"/>
  <c r="AL81" i="15"/>
  <c r="AL82" i="15"/>
  <c r="AL83" i="15"/>
  <c r="AL84" i="15"/>
  <c r="AL85" i="15"/>
  <c r="AL86" i="15"/>
  <c r="AL87" i="15"/>
  <c r="AL88" i="15"/>
  <c r="AL89" i="15"/>
  <c r="AL90" i="15"/>
  <c r="AL91" i="15"/>
  <c r="AL92" i="15"/>
  <c r="AL93" i="15"/>
  <c r="AL94" i="15"/>
  <c r="AL95" i="15"/>
  <c r="AL96" i="15"/>
  <c r="AL97" i="15"/>
  <c r="AL98" i="15"/>
  <c r="AL99" i="15"/>
  <c r="AL100" i="15"/>
  <c r="AL101" i="15"/>
  <c r="AL102" i="15"/>
  <c r="AL103" i="15"/>
  <c r="AL104" i="15"/>
  <c r="AL105" i="15"/>
  <c r="AL106" i="15"/>
  <c r="AL107" i="15"/>
  <c r="AL108" i="15"/>
  <c r="AL109" i="15"/>
  <c r="AL110" i="15"/>
  <c r="AL111" i="15"/>
  <c r="AL112" i="15"/>
  <c r="AL113" i="15"/>
  <c r="AL114" i="15"/>
  <c r="AL115" i="15"/>
  <c r="AL116" i="15"/>
  <c r="AL117" i="15"/>
  <c r="AL118" i="15"/>
  <c r="AL119" i="15"/>
  <c r="AL120" i="15"/>
  <c r="AL121" i="15"/>
  <c r="AL122" i="15"/>
  <c r="AL123" i="15"/>
  <c r="AL124" i="15"/>
  <c r="AL125" i="15"/>
  <c r="AL126" i="15"/>
  <c r="AL127" i="15"/>
  <c r="AL128" i="15"/>
  <c r="AL129" i="15"/>
  <c r="AL130" i="15"/>
  <c r="AL131" i="15"/>
  <c r="AL132" i="15"/>
  <c r="AL133" i="15"/>
  <c r="AL134" i="15"/>
  <c r="AL135" i="15"/>
  <c r="AL136" i="15"/>
  <c r="AL137" i="15"/>
  <c r="AL138" i="15"/>
  <c r="AL139" i="15"/>
  <c r="AL140" i="15"/>
  <c r="AL141" i="15"/>
  <c r="AL142" i="15"/>
  <c r="AL143" i="15"/>
  <c r="AL144" i="15"/>
  <c r="AL145" i="15"/>
  <c r="AL146" i="15"/>
  <c r="AL147" i="15"/>
  <c r="AL148" i="15"/>
  <c r="AL149" i="15"/>
  <c r="AL150" i="15"/>
  <c r="AL151" i="15"/>
  <c r="AL152" i="15"/>
  <c r="AL153" i="15"/>
  <c r="AL154" i="15"/>
  <c r="AL155" i="15"/>
  <c r="AL156" i="15"/>
  <c r="AL157" i="15"/>
  <c r="AL158" i="15"/>
  <c r="AL159" i="15"/>
  <c r="AL160" i="15"/>
  <c r="AL161" i="15"/>
  <c r="AL162" i="15"/>
  <c r="AL163" i="15"/>
  <c r="AL164" i="15"/>
  <c r="AL165" i="15"/>
  <c r="AL166" i="15"/>
  <c r="AL167" i="15"/>
  <c r="AL168" i="15"/>
  <c r="AL169" i="15"/>
  <c r="AL170" i="15"/>
  <c r="AL171" i="15"/>
  <c r="AL172" i="15"/>
  <c r="AL173" i="15"/>
  <c r="AL174" i="15"/>
  <c r="AL175" i="15"/>
  <c r="AL176" i="15"/>
  <c r="AL177" i="15"/>
  <c r="AL178" i="15"/>
  <c r="AL179" i="15"/>
  <c r="AL180" i="15"/>
  <c r="AL181" i="15"/>
  <c r="AL182" i="15"/>
  <c r="AL183" i="15"/>
  <c r="AL184" i="15"/>
  <c r="AL185" i="15"/>
  <c r="AL186" i="15"/>
  <c r="AL187" i="15"/>
  <c r="AL188" i="15"/>
  <c r="AL189" i="15"/>
  <c r="AL190" i="15"/>
  <c r="AL191" i="15"/>
  <c r="AL192" i="15"/>
  <c r="AL193" i="15"/>
  <c r="AL194" i="15"/>
  <c r="AL195" i="15"/>
  <c r="AL196" i="15"/>
  <c r="AL197" i="15"/>
  <c r="AL198" i="15"/>
  <c r="AL199" i="15"/>
  <c r="AL200" i="15"/>
  <c r="AL201" i="15"/>
  <c r="AL4" i="15"/>
  <c r="AH5" i="15"/>
  <c r="AH4" i="15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42" i="15"/>
  <c r="AH43" i="15"/>
  <c r="AH44" i="15"/>
  <c r="AH45" i="15"/>
  <c r="AH46" i="15"/>
  <c r="AH47" i="15"/>
  <c r="AH48" i="15"/>
  <c r="AH49" i="15"/>
  <c r="AH50" i="15"/>
  <c r="AH51" i="15"/>
  <c r="AH52" i="15"/>
  <c r="AH53" i="15"/>
  <c r="AH54" i="15"/>
  <c r="AH55" i="15"/>
  <c r="AH56" i="15"/>
  <c r="AH57" i="15"/>
  <c r="AH58" i="15"/>
  <c r="AH59" i="15"/>
  <c r="AH60" i="15"/>
  <c r="AH61" i="15"/>
  <c r="AH62" i="15"/>
  <c r="AH63" i="15"/>
  <c r="AH64" i="15"/>
  <c r="AH65" i="15"/>
  <c r="AH66" i="15"/>
  <c r="AH67" i="15"/>
  <c r="AH68" i="15"/>
  <c r="AH69" i="15"/>
  <c r="AH70" i="15"/>
  <c r="AH71" i="15"/>
  <c r="AH72" i="15"/>
  <c r="AH73" i="15"/>
  <c r="AH74" i="15"/>
  <c r="AH75" i="15"/>
  <c r="AH76" i="15"/>
  <c r="AH77" i="15"/>
  <c r="AH78" i="15"/>
  <c r="AH79" i="15"/>
  <c r="AH80" i="15"/>
  <c r="AH81" i="15"/>
  <c r="AH82" i="15"/>
  <c r="AH83" i="15"/>
  <c r="AH84" i="15"/>
  <c r="AH85" i="15"/>
  <c r="AH86" i="15"/>
  <c r="AH87" i="15"/>
  <c r="AH88" i="15"/>
  <c r="AH89" i="15"/>
  <c r="AH90" i="15"/>
  <c r="AH91" i="15"/>
  <c r="AH92" i="15"/>
  <c r="AH93" i="15"/>
  <c r="AH94" i="15"/>
  <c r="AH95" i="15"/>
  <c r="AH96" i="15"/>
  <c r="AH97" i="15"/>
  <c r="AH98" i="15"/>
  <c r="AH99" i="15"/>
  <c r="AH100" i="15"/>
  <c r="AH101" i="15"/>
  <c r="AH102" i="15"/>
  <c r="AH103" i="15"/>
  <c r="AH104" i="15"/>
  <c r="AH105" i="15"/>
  <c r="AH106" i="15"/>
  <c r="AH107" i="15"/>
  <c r="AH108" i="15"/>
  <c r="AH109" i="15"/>
  <c r="AH110" i="15"/>
  <c r="AH111" i="15"/>
  <c r="AH112" i="15"/>
  <c r="AH113" i="15"/>
  <c r="AH114" i="15"/>
  <c r="AH115" i="15"/>
  <c r="AH116" i="15"/>
  <c r="AH117" i="15"/>
  <c r="AH118" i="15"/>
  <c r="AH119" i="15"/>
  <c r="AH120" i="15"/>
  <c r="AH121" i="15"/>
  <c r="AH122" i="15"/>
  <c r="AH123" i="15"/>
  <c r="AH124" i="15"/>
  <c r="AH125" i="15"/>
  <c r="AH126" i="15"/>
  <c r="AH127" i="15"/>
  <c r="AH128" i="15"/>
  <c r="AH129" i="15"/>
  <c r="AH130" i="15"/>
  <c r="AH131" i="15"/>
  <c r="AH132" i="15"/>
  <c r="AH133" i="15"/>
  <c r="AH134" i="15"/>
  <c r="AH135" i="15"/>
  <c r="AH136" i="15"/>
  <c r="AH137" i="15"/>
  <c r="AH138" i="15"/>
  <c r="AH139" i="15"/>
  <c r="AH140" i="15"/>
  <c r="AH141" i="15"/>
  <c r="AH142" i="15"/>
  <c r="AH143" i="15"/>
  <c r="AH144" i="15"/>
  <c r="AH145" i="15"/>
  <c r="AH146" i="15"/>
  <c r="AH147" i="15"/>
  <c r="AH148" i="15"/>
  <c r="AH149" i="15"/>
  <c r="AH150" i="15"/>
  <c r="AH151" i="15"/>
  <c r="AH152" i="15"/>
  <c r="AH153" i="15"/>
  <c r="AH154" i="15"/>
  <c r="AH155" i="15"/>
  <c r="AH156" i="15"/>
  <c r="AH157" i="15"/>
  <c r="AH158" i="15"/>
  <c r="AH159" i="15"/>
  <c r="AH160" i="15"/>
  <c r="AH161" i="15"/>
  <c r="AH162" i="15"/>
  <c r="AH163" i="15"/>
  <c r="AH164" i="15"/>
  <c r="AH165" i="15"/>
  <c r="AH166" i="15"/>
  <c r="AH167" i="15"/>
  <c r="AH168" i="15"/>
  <c r="AH169" i="15"/>
  <c r="AH170" i="15"/>
  <c r="AH171" i="15"/>
  <c r="AH172" i="15"/>
  <c r="AH173" i="15"/>
  <c r="AH174" i="15"/>
  <c r="AH175" i="15"/>
  <c r="AH176" i="15"/>
  <c r="AH177" i="15"/>
  <c r="AH178" i="15"/>
  <c r="AH179" i="15"/>
  <c r="AH180" i="15"/>
  <c r="AH181" i="15"/>
  <c r="AH182" i="15"/>
  <c r="AH183" i="15"/>
  <c r="AH184" i="15"/>
  <c r="AH185" i="15"/>
  <c r="AH186" i="15"/>
  <c r="AH187" i="15"/>
  <c r="AH188" i="15"/>
  <c r="AH189" i="15"/>
  <c r="AH190" i="15"/>
  <c r="AH191" i="15"/>
  <c r="AH192" i="15"/>
  <c r="AH193" i="15"/>
  <c r="AH194" i="15"/>
  <c r="AH195" i="15"/>
  <c r="AH196" i="15"/>
  <c r="AH197" i="15"/>
  <c r="AH198" i="15"/>
  <c r="AH199" i="15"/>
  <c r="AH200" i="15"/>
  <c r="AH201" i="15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Y105" i="15"/>
  <c r="Y106" i="15"/>
  <c r="Y107" i="15"/>
  <c r="Y108" i="15"/>
  <c r="Y109" i="15"/>
  <c r="Y110" i="15"/>
  <c r="Y111" i="15"/>
  <c r="Y112" i="15"/>
  <c r="Y113" i="15"/>
  <c r="Y114" i="15"/>
  <c r="Y115" i="15"/>
  <c r="Y116" i="15"/>
  <c r="Y117" i="15"/>
  <c r="Y118" i="15"/>
  <c r="Y119" i="15"/>
  <c r="Y120" i="15"/>
  <c r="Y121" i="15"/>
  <c r="Y122" i="15"/>
  <c r="Y123" i="15"/>
  <c r="Y124" i="15"/>
  <c r="Y125" i="15"/>
  <c r="Y126" i="15"/>
  <c r="Y127" i="15"/>
  <c r="Y128" i="15"/>
  <c r="Y129" i="15"/>
  <c r="Y130" i="15"/>
  <c r="Y131" i="15"/>
  <c r="Y132" i="15"/>
  <c r="Y133" i="15"/>
  <c r="Y134" i="15"/>
  <c r="Y135" i="15"/>
  <c r="Y136" i="15"/>
  <c r="Y137" i="15"/>
  <c r="Y138" i="15"/>
  <c r="Y139" i="15"/>
  <c r="Y140" i="15"/>
  <c r="Y141" i="15"/>
  <c r="Y142" i="15"/>
  <c r="Y143" i="15"/>
  <c r="Y144" i="15"/>
  <c r="Y145" i="15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Y160" i="15"/>
  <c r="Y161" i="15"/>
  <c r="Y162" i="15"/>
  <c r="Y163" i="15"/>
  <c r="Y164" i="15"/>
  <c r="Y165" i="15"/>
  <c r="Y166" i="15"/>
  <c r="Y167" i="15"/>
  <c r="Y168" i="15"/>
  <c r="Y169" i="15"/>
  <c r="Y170" i="15"/>
  <c r="Y171" i="15"/>
  <c r="Y172" i="15"/>
  <c r="Y173" i="15"/>
  <c r="Y174" i="15"/>
  <c r="Y175" i="15"/>
  <c r="Y176" i="15"/>
  <c r="Y177" i="15"/>
  <c r="Y178" i="15"/>
  <c r="Y179" i="15"/>
  <c r="Y180" i="15"/>
  <c r="Y181" i="15"/>
  <c r="Y182" i="15"/>
  <c r="Y183" i="15"/>
  <c r="Y184" i="15"/>
  <c r="Y185" i="15"/>
  <c r="Y186" i="15"/>
  <c r="Y187" i="15"/>
  <c r="Y188" i="15"/>
  <c r="Y189" i="15"/>
  <c r="Y190" i="15"/>
  <c r="Y191" i="15"/>
  <c r="Y192" i="15"/>
  <c r="Y193" i="15"/>
  <c r="Y194" i="15"/>
  <c r="Y195" i="15"/>
  <c r="Y196" i="15"/>
  <c r="Y197" i="15"/>
  <c r="Y198" i="15"/>
  <c r="Y199" i="15"/>
  <c r="Y200" i="15"/>
  <c r="Y201" i="15"/>
  <c r="Y4" i="15"/>
  <c r="U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U113" i="15"/>
  <c r="U114" i="15"/>
  <c r="U115" i="15"/>
  <c r="U116" i="15"/>
  <c r="U117" i="15"/>
  <c r="U118" i="15"/>
  <c r="U119" i="15"/>
  <c r="U120" i="15"/>
  <c r="U121" i="15"/>
  <c r="U122" i="15"/>
  <c r="U123" i="15"/>
  <c r="U124" i="15"/>
  <c r="U125" i="15"/>
  <c r="U126" i="15"/>
  <c r="U127" i="15"/>
  <c r="U128" i="15"/>
  <c r="U129" i="15"/>
  <c r="U130" i="15"/>
  <c r="U131" i="15"/>
  <c r="U132" i="15"/>
  <c r="U133" i="15"/>
  <c r="U134" i="15"/>
  <c r="U135" i="15"/>
  <c r="U136" i="15"/>
  <c r="U137" i="15"/>
  <c r="U138" i="15"/>
  <c r="U139" i="15"/>
  <c r="U140" i="15"/>
  <c r="U141" i="15"/>
  <c r="U142" i="15"/>
  <c r="U143" i="15"/>
  <c r="U144" i="15"/>
  <c r="U145" i="15"/>
  <c r="U146" i="15"/>
  <c r="U147" i="15"/>
  <c r="U148" i="15"/>
  <c r="U149" i="15"/>
  <c r="U150" i="15"/>
  <c r="U151" i="15"/>
  <c r="U152" i="15"/>
  <c r="U153" i="15"/>
  <c r="U154" i="15"/>
  <c r="U155" i="15"/>
  <c r="U156" i="15"/>
  <c r="U157" i="15"/>
  <c r="U158" i="15"/>
  <c r="U159" i="15"/>
  <c r="U160" i="15"/>
  <c r="U161" i="15"/>
  <c r="U162" i="15"/>
  <c r="U163" i="15"/>
  <c r="U164" i="15"/>
  <c r="U165" i="15"/>
  <c r="U166" i="15"/>
  <c r="U167" i="15"/>
  <c r="U168" i="15"/>
  <c r="U169" i="15"/>
  <c r="U170" i="15"/>
  <c r="U171" i="15"/>
  <c r="U172" i="15"/>
  <c r="U173" i="15"/>
  <c r="U174" i="15"/>
  <c r="U175" i="15"/>
  <c r="U176" i="15"/>
  <c r="U177" i="15"/>
  <c r="U178" i="15"/>
  <c r="U179" i="15"/>
  <c r="U180" i="15"/>
  <c r="U181" i="15"/>
  <c r="U182" i="15"/>
  <c r="U183" i="15"/>
  <c r="U184" i="15"/>
  <c r="U185" i="15"/>
  <c r="U186" i="15"/>
  <c r="U187" i="15"/>
  <c r="U188" i="15"/>
  <c r="U189" i="15"/>
  <c r="U190" i="15"/>
  <c r="U191" i="15"/>
  <c r="U192" i="15"/>
  <c r="U193" i="15"/>
  <c r="U194" i="15"/>
  <c r="U195" i="15"/>
  <c r="U196" i="15"/>
  <c r="U197" i="15"/>
  <c r="U198" i="15"/>
  <c r="U199" i="15"/>
  <c r="U200" i="15"/>
  <c r="U201" i="15"/>
  <c r="U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4" i="15"/>
  <c r="BG4" i="14"/>
  <c r="BG5" i="14"/>
  <c r="BG6" i="14"/>
  <c r="BG7" i="14"/>
  <c r="BG8" i="14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8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7" i="14"/>
  <c r="BG98" i="14"/>
  <c r="BG99" i="14"/>
  <c r="BG100" i="14"/>
  <c r="BG101" i="14"/>
  <c r="BG102" i="14"/>
  <c r="BG103" i="14"/>
  <c r="BG104" i="14"/>
  <c r="BG105" i="14"/>
  <c r="BG106" i="14"/>
  <c r="BG107" i="14"/>
  <c r="BG108" i="14"/>
  <c r="BG109" i="14"/>
  <c r="BG110" i="14"/>
  <c r="BG111" i="14"/>
  <c r="BG112" i="14"/>
  <c r="BG113" i="14"/>
  <c r="BG114" i="14"/>
  <c r="BG115" i="14"/>
  <c r="BG116" i="14"/>
  <c r="BG117" i="14"/>
  <c r="BG118" i="14"/>
  <c r="BG119" i="14"/>
  <c r="BG120" i="14"/>
  <c r="BG121" i="14"/>
  <c r="BG122" i="14"/>
  <c r="BG123" i="14"/>
  <c r="BG124" i="14"/>
  <c r="BG125" i="14"/>
  <c r="BG126" i="14"/>
  <c r="BG127" i="14"/>
  <c r="BG128" i="14"/>
  <c r="BG129" i="14"/>
  <c r="BG130" i="14"/>
  <c r="BG131" i="14"/>
  <c r="BG132" i="14"/>
  <c r="BG133" i="14"/>
  <c r="BG134" i="14"/>
  <c r="BG135" i="14"/>
  <c r="BG136" i="14"/>
  <c r="BG137" i="14"/>
  <c r="BG138" i="14"/>
  <c r="BG139" i="14"/>
  <c r="BG140" i="14"/>
  <c r="BG141" i="14"/>
  <c r="BG142" i="14"/>
  <c r="BG143" i="14"/>
  <c r="BG144" i="14"/>
  <c r="BG145" i="14"/>
  <c r="BG146" i="14"/>
  <c r="BG147" i="14"/>
  <c r="BG148" i="14"/>
  <c r="BG149" i="14"/>
  <c r="BG150" i="14"/>
  <c r="BG151" i="14"/>
  <c r="BG152" i="14"/>
  <c r="BG153" i="14"/>
  <c r="BG154" i="14"/>
  <c r="BG155" i="14"/>
  <c r="BG156" i="14"/>
  <c r="BG157" i="14"/>
  <c r="BG158" i="14"/>
  <c r="BG159" i="14"/>
  <c r="BG160" i="14"/>
  <c r="BG161" i="14"/>
  <c r="BG162" i="14"/>
  <c r="BG163" i="14"/>
  <c r="BG164" i="14"/>
  <c r="BG165" i="14"/>
  <c r="BG166" i="14"/>
  <c r="BG167" i="14"/>
  <c r="BG168" i="14"/>
  <c r="BG169" i="14"/>
  <c r="BG170" i="14"/>
  <c r="BG171" i="14"/>
  <c r="BG172" i="14"/>
  <c r="BG173" i="14"/>
  <c r="BG174" i="14"/>
  <c r="BG175" i="14"/>
  <c r="BG176" i="14"/>
  <c r="BG177" i="14"/>
  <c r="BG178" i="14"/>
  <c r="BG179" i="14"/>
  <c r="BG180" i="14"/>
  <c r="BG181" i="14"/>
  <c r="BG182" i="14"/>
  <c r="BG183" i="14"/>
  <c r="BG184" i="14"/>
  <c r="BG185" i="14"/>
  <c r="BG186" i="14"/>
  <c r="BG187" i="14"/>
  <c r="BG188" i="14"/>
  <c r="BG189" i="14"/>
  <c r="BG190" i="14"/>
  <c r="BG191" i="14"/>
  <c r="BG192" i="14"/>
  <c r="BG193" i="14"/>
  <c r="BG194" i="14"/>
  <c r="BG195" i="14"/>
  <c r="BG196" i="14"/>
  <c r="BG197" i="14"/>
  <c r="BG198" i="14"/>
  <c r="BG199" i="14"/>
  <c r="BG200" i="14"/>
  <c r="BG201" i="14"/>
  <c r="BC4" i="14"/>
  <c r="BC5" i="14"/>
  <c r="BC6" i="14"/>
  <c r="BC7" i="14"/>
  <c r="BC8" i="14"/>
  <c r="BC9" i="14"/>
  <c r="BC10" i="14"/>
  <c r="BC11" i="14"/>
  <c r="BC12" i="14"/>
  <c r="BC13" i="14"/>
  <c r="BC14" i="14"/>
  <c r="BC15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1" i="14"/>
  <c r="BC32" i="14"/>
  <c r="BC33" i="14"/>
  <c r="BC34" i="14"/>
  <c r="BC35" i="14"/>
  <c r="BC36" i="14"/>
  <c r="BC37" i="14"/>
  <c r="BC38" i="14"/>
  <c r="BC39" i="14"/>
  <c r="BC40" i="14"/>
  <c r="BC41" i="14"/>
  <c r="BC42" i="14"/>
  <c r="BC43" i="14"/>
  <c r="BC44" i="14"/>
  <c r="BC45" i="14"/>
  <c r="BC46" i="14"/>
  <c r="BC47" i="14"/>
  <c r="BC48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0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6" i="14"/>
  <c r="BC97" i="14"/>
  <c r="BC98" i="14"/>
  <c r="BC99" i="14"/>
  <c r="BC100" i="14"/>
  <c r="BC101" i="14"/>
  <c r="BC102" i="14"/>
  <c r="BC103" i="14"/>
  <c r="BC104" i="14"/>
  <c r="BC105" i="14"/>
  <c r="BC106" i="14"/>
  <c r="BC107" i="14"/>
  <c r="BC108" i="14"/>
  <c r="BC109" i="14"/>
  <c r="BC110" i="14"/>
  <c r="BC111" i="14"/>
  <c r="BC112" i="14"/>
  <c r="BC113" i="14"/>
  <c r="BC114" i="14"/>
  <c r="BC115" i="14"/>
  <c r="BC116" i="14"/>
  <c r="BC117" i="14"/>
  <c r="BC118" i="14"/>
  <c r="BC119" i="14"/>
  <c r="BC120" i="14"/>
  <c r="BC121" i="14"/>
  <c r="BC122" i="14"/>
  <c r="BC123" i="14"/>
  <c r="BC124" i="14"/>
  <c r="BC125" i="14"/>
  <c r="BC126" i="14"/>
  <c r="BC127" i="14"/>
  <c r="BC128" i="14"/>
  <c r="BC129" i="14"/>
  <c r="BC130" i="14"/>
  <c r="BC131" i="14"/>
  <c r="BC132" i="14"/>
  <c r="BC133" i="14"/>
  <c r="BC134" i="14"/>
  <c r="BC135" i="14"/>
  <c r="BC136" i="14"/>
  <c r="BC137" i="14"/>
  <c r="BC138" i="14"/>
  <c r="BC139" i="14"/>
  <c r="BC140" i="14"/>
  <c r="BC141" i="14"/>
  <c r="BC142" i="14"/>
  <c r="BC143" i="14"/>
  <c r="BC144" i="14"/>
  <c r="BC145" i="14"/>
  <c r="BC146" i="14"/>
  <c r="BC147" i="14"/>
  <c r="BC148" i="14"/>
  <c r="BC149" i="14"/>
  <c r="BC150" i="14"/>
  <c r="BC151" i="14"/>
  <c r="BC152" i="14"/>
  <c r="BC153" i="14"/>
  <c r="BC154" i="14"/>
  <c r="BC155" i="14"/>
  <c r="BC156" i="14"/>
  <c r="BC157" i="14"/>
  <c r="BC158" i="14"/>
  <c r="BC159" i="14"/>
  <c r="BC160" i="14"/>
  <c r="BC161" i="14"/>
  <c r="BC162" i="14"/>
  <c r="BC163" i="14"/>
  <c r="BC164" i="14"/>
  <c r="BC165" i="14"/>
  <c r="BC166" i="14"/>
  <c r="BC167" i="14"/>
  <c r="BC168" i="14"/>
  <c r="BC169" i="14"/>
  <c r="BC170" i="14"/>
  <c r="BC171" i="14"/>
  <c r="BC172" i="14"/>
  <c r="BC173" i="14"/>
  <c r="BC174" i="14"/>
  <c r="BC175" i="14"/>
  <c r="BC176" i="14"/>
  <c r="BC177" i="14"/>
  <c r="BC178" i="14"/>
  <c r="BC179" i="14"/>
  <c r="BC180" i="14"/>
  <c r="BC181" i="14"/>
  <c r="BC182" i="14"/>
  <c r="BC183" i="14"/>
  <c r="BC184" i="14"/>
  <c r="BC185" i="14"/>
  <c r="BC186" i="14"/>
  <c r="BC187" i="14"/>
  <c r="BC188" i="14"/>
  <c r="BC189" i="14"/>
  <c r="BC190" i="14"/>
  <c r="BC191" i="14"/>
  <c r="BC192" i="14"/>
  <c r="BC193" i="14"/>
  <c r="BC194" i="14"/>
  <c r="BC195" i="14"/>
  <c r="BC196" i="14"/>
  <c r="BC197" i="14"/>
  <c r="BC198" i="14"/>
  <c r="BC199" i="14"/>
  <c r="BC200" i="14"/>
  <c r="BC201" i="14"/>
  <c r="AY4" i="14"/>
  <c r="AY5" i="14"/>
  <c r="AY6" i="14"/>
  <c r="AY7" i="14"/>
  <c r="AY8" i="14"/>
  <c r="AY9" i="14"/>
  <c r="AY10" i="14"/>
  <c r="AY11" i="14"/>
  <c r="AY12" i="14"/>
  <c r="AY13" i="14"/>
  <c r="AY14" i="14"/>
  <c r="AY15" i="14"/>
  <c r="AY16" i="14"/>
  <c r="AY17" i="14"/>
  <c r="AY18" i="14"/>
  <c r="AY19" i="14"/>
  <c r="AY20" i="14"/>
  <c r="AY21" i="14"/>
  <c r="AY22" i="14"/>
  <c r="AY23" i="14"/>
  <c r="AY24" i="14"/>
  <c r="AY25" i="14"/>
  <c r="AY26" i="14"/>
  <c r="AY27" i="14"/>
  <c r="AY28" i="14"/>
  <c r="AY29" i="14"/>
  <c r="AY30" i="14"/>
  <c r="AY31" i="14"/>
  <c r="AY32" i="14"/>
  <c r="AY33" i="14"/>
  <c r="AY34" i="14"/>
  <c r="AY35" i="14"/>
  <c r="AY36" i="14"/>
  <c r="AY37" i="14"/>
  <c r="AY38" i="14"/>
  <c r="AY39" i="14"/>
  <c r="AY40" i="14"/>
  <c r="AY41" i="14"/>
  <c r="AY42" i="14"/>
  <c r="AY43" i="14"/>
  <c r="AY44" i="14"/>
  <c r="AY45" i="14"/>
  <c r="AY46" i="14"/>
  <c r="AY47" i="14"/>
  <c r="AY48" i="14"/>
  <c r="AY49" i="14"/>
  <c r="AY50" i="14"/>
  <c r="AY51" i="14"/>
  <c r="AY52" i="14"/>
  <c r="AY53" i="14"/>
  <c r="AY54" i="14"/>
  <c r="AY55" i="14"/>
  <c r="AY56" i="14"/>
  <c r="AY57" i="14"/>
  <c r="AY58" i="14"/>
  <c r="AY59" i="14"/>
  <c r="AY60" i="14"/>
  <c r="AY61" i="14"/>
  <c r="AY62" i="14"/>
  <c r="AY63" i="14"/>
  <c r="AY64" i="14"/>
  <c r="AY65" i="14"/>
  <c r="AY66" i="14"/>
  <c r="AY67" i="14"/>
  <c r="AY68" i="14"/>
  <c r="AY69" i="14"/>
  <c r="AY70" i="14"/>
  <c r="AY71" i="14"/>
  <c r="AY72" i="14"/>
  <c r="AY73" i="14"/>
  <c r="AY74" i="14"/>
  <c r="AY75" i="14"/>
  <c r="AY76" i="14"/>
  <c r="AY77" i="14"/>
  <c r="AY78" i="14"/>
  <c r="AY79" i="14"/>
  <c r="AY80" i="14"/>
  <c r="AY81" i="14"/>
  <c r="AY82" i="14"/>
  <c r="AY83" i="14"/>
  <c r="AY84" i="14"/>
  <c r="AY85" i="14"/>
  <c r="AY86" i="14"/>
  <c r="AY87" i="14"/>
  <c r="AY88" i="14"/>
  <c r="AY89" i="14"/>
  <c r="AY90" i="14"/>
  <c r="AY91" i="14"/>
  <c r="AY92" i="14"/>
  <c r="AY93" i="14"/>
  <c r="AY94" i="14"/>
  <c r="AY95" i="14"/>
  <c r="AY96" i="14"/>
  <c r="AY97" i="14"/>
  <c r="AY98" i="14"/>
  <c r="AY99" i="14"/>
  <c r="AY100" i="14"/>
  <c r="AY101" i="14"/>
  <c r="AY102" i="14"/>
  <c r="AY103" i="14"/>
  <c r="AY104" i="14"/>
  <c r="AY105" i="14"/>
  <c r="AY106" i="14"/>
  <c r="AY107" i="14"/>
  <c r="AY108" i="14"/>
  <c r="AY109" i="14"/>
  <c r="AY110" i="14"/>
  <c r="AY111" i="14"/>
  <c r="AY112" i="14"/>
  <c r="AY113" i="14"/>
  <c r="AY114" i="14"/>
  <c r="AY115" i="14"/>
  <c r="AY116" i="14"/>
  <c r="AY117" i="14"/>
  <c r="AY118" i="14"/>
  <c r="AY119" i="14"/>
  <c r="AY120" i="14"/>
  <c r="AY121" i="14"/>
  <c r="AY122" i="14"/>
  <c r="AY123" i="14"/>
  <c r="AY124" i="14"/>
  <c r="AY125" i="14"/>
  <c r="AY126" i="14"/>
  <c r="AY127" i="14"/>
  <c r="AY128" i="14"/>
  <c r="AY129" i="14"/>
  <c r="AY130" i="14"/>
  <c r="AY131" i="14"/>
  <c r="AY132" i="14"/>
  <c r="AY133" i="14"/>
  <c r="AY134" i="14"/>
  <c r="AY135" i="14"/>
  <c r="AY136" i="14"/>
  <c r="AY137" i="14"/>
  <c r="AY138" i="14"/>
  <c r="AY139" i="14"/>
  <c r="AY140" i="14"/>
  <c r="AY141" i="14"/>
  <c r="AY142" i="14"/>
  <c r="AY143" i="14"/>
  <c r="AY144" i="14"/>
  <c r="AY145" i="14"/>
  <c r="AY146" i="14"/>
  <c r="AY147" i="14"/>
  <c r="AY148" i="14"/>
  <c r="AY149" i="14"/>
  <c r="AY150" i="14"/>
  <c r="AY151" i="14"/>
  <c r="AY152" i="14"/>
  <c r="AY153" i="14"/>
  <c r="AY154" i="14"/>
  <c r="AY155" i="14"/>
  <c r="AY156" i="14"/>
  <c r="AY157" i="14"/>
  <c r="AY158" i="14"/>
  <c r="AY159" i="14"/>
  <c r="AY160" i="14"/>
  <c r="AY161" i="14"/>
  <c r="AY162" i="14"/>
  <c r="AY163" i="14"/>
  <c r="AY164" i="14"/>
  <c r="AY165" i="14"/>
  <c r="AY166" i="14"/>
  <c r="AY167" i="14"/>
  <c r="AY168" i="14"/>
  <c r="AY169" i="14"/>
  <c r="AY170" i="14"/>
  <c r="AY171" i="14"/>
  <c r="AY172" i="14"/>
  <c r="AY173" i="14"/>
  <c r="AY174" i="14"/>
  <c r="AY175" i="14"/>
  <c r="AY176" i="14"/>
  <c r="AY177" i="14"/>
  <c r="AY178" i="14"/>
  <c r="AY179" i="14"/>
  <c r="AY180" i="14"/>
  <c r="AY181" i="14"/>
  <c r="AY182" i="14"/>
  <c r="AY183" i="14"/>
  <c r="AY184" i="14"/>
  <c r="AY185" i="14"/>
  <c r="AY186" i="14"/>
  <c r="AY187" i="14"/>
  <c r="AY188" i="14"/>
  <c r="AY189" i="14"/>
  <c r="AY190" i="14"/>
  <c r="AY191" i="14"/>
  <c r="AY192" i="14"/>
  <c r="AY193" i="14"/>
  <c r="AY194" i="14"/>
  <c r="AY195" i="14"/>
  <c r="AY196" i="14"/>
  <c r="AY197" i="14"/>
  <c r="AY198" i="14"/>
  <c r="AY199" i="14"/>
  <c r="AY200" i="14"/>
  <c r="AY201" i="14"/>
  <c r="AP4" i="14"/>
  <c r="AP5" i="14"/>
  <c r="AP6" i="14"/>
  <c r="AP7" i="14"/>
  <c r="AP8" i="14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P36" i="14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P81" i="14"/>
  <c r="AP82" i="14"/>
  <c r="AP83" i="14"/>
  <c r="AP84" i="14"/>
  <c r="AP85" i="14"/>
  <c r="AP86" i="14"/>
  <c r="AP87" i="14"/>
  <c r="AP88" i="14"/>
  <c r="AP89" i="14"/>
  <c r="AP90" i="14"/>
  <c r="AP91" i="14"/>
  <c r="AP92" i="14"/>
  <c r="AP93" i="14"/>
  <c r="AP94" i="14"/>
  <c r="AP95" i="14"/>
  <c r="AP96" i="14"/>
  <c r="AP97" i="14"/>
  <c r="AP98" i="14"/>
  <c r="AP99" i="14"/>
  <c r="AP100" i="14"/>
  <c r="AP101" i="14"/>
  <c r="AP102" i="14"/>
  <c r="AP103" i="14"/>
  <c r="AP104" i="14"/>
  <c r="AP105" i="14"/>
  <c r="AP106" i="14"/>
  <c r="AP107" i="14"/>
  <c r="AP108" i="14"/>
  <c r="AP109" i="14"/>
  <c r="AP110" i="14"/>
  <c r="AP111" i="14"/>
  <c r="AP112" i="14"/>
  <c r="AP113" i="14"/>
  <c r="AP114" i="14"/>
  <c r="AP115" i="14"/>
  <c r="AP116" i="14"/>
  <c r="AP117" i="14"/>
  <c r="AP118" i="14"/>
  <c r="AP119" i="14"/>
  <c r="AP120" i="14"/>
  <c r="AP121" i="14"/>
  <c r="AP122" i="14"/>
  <c r="AP123" i="14"/>
  <c r="AP124" i="14"/>
  <c r="AP125" i="14"/>
  <c r="AP126" i="14"/>
  <c r="AP127" i="14"/>
  <c r="AP128" i="14"/>
  <c r="AP129" i="14"/>
  <c r="AP130" i="14"/>
  <c r="AP131" i="14"/>
  <c r="AP132" i="14"/>
  <c r="AP133" i="14"/>
  <c r="AP134" i="14"/>
  <c r="AP135" i="14"/>
  <c r="AP136" i="14"/>
  <c r="AP137" i="14"/>
  <c r="AP138" i="14"/>
  <c r="AP139" i="14"/>
  <c r="AP140" i="14"/>
  <c r="AP141" i="14"/>
  <c r="AP142" i="14"/>
  <c r="AP143" i="14"/>
  <c r="AP144" i="14"/>
  <c r="AP145" i="14"/>
  <c r="AP146" i="14"/>
  <c r="AP147" i="14"/>
  <c r="AP148" i="14"/>
  <c r="AP149" i="14"/>
  <c r="AP150" i="14"/>
  <c r="AP151" i="14"/>
  <c r="AP152" i="14"/>
  <c r="AP153" i="14"/>
  <c r="AP154" i="14"/>
  <c r="AP155" i="14"/>
  <c r="AP156" i="14"/>
  <c r="AP157" i="14"/>
  <c r="AP158" i="14"/>
  <c r="AP159" i="14"/>
  <c r="AP160" i="14"/>
  <c r="AP161" i="14"/>
  <c r="AP162" i="14"/>
  <c r="AP163" i="14"/>
  <c r="AP164" i="14"/>
  <c r="AP165" i="14"/>
  <c r="AP166" i="14"/>
  <c r="AP167" i="14"/>
  <c r="AP168" i="14"/>
  <c r="AP169" i="14"/>
  <c r="AP170" i="14"/>
  <c r="AP171" i="14"/>
  <c r="AP172" i="14"/>
  <c r="AP173" i="14"/>
  <c r="AP174" i="14"/>
  <c r="AP175" i="14"/>
  <c r="AP176" i="14"/>
  <c r="AP177" i="14"/>
  <c r="AP178" i="14"/>
  <c r="AP179" i="14"/>
  <c r="AP180" i="14"/>
  <c r="AP181" i="14"/>
  <c r="AP182" i="14"/>
  <c r="AP183" i="14"/>
  <c r="AP184" i="14"/>
  <c r="AP185" i="14"/>
  <c r="AP186" i="14"/>
  <c r="AP187" i="14"/>
  <c r="AP188" i="14"/>
  <c r="AP189" i="14"/>
  <c r="AP190" i="14"/>
  <c r="AP191" i="14"/>
  <c r="AP192" i="14"/>
  <c r="AP193" i="14"/>
  <c r="AP194" i="14"/>
  <c r="AP195" i="14"/>
  <c r="AP196" i="14"/>
  <c r="AP197" i="14"/>
  <c r="AP198" i="14"/>
  <c r="AP199" i="14"/>
  <c r="AP200" i="14"/>
  <c r="AP201" i="14"/>
  <c r="AL4" i="14"/>
  <c r="AL5" i="14"/>
  <c r="AL6" i="14"/>
  <c r="AL7" i="14"/>
  <c r="AL8" i="14"/>
  <c r="AL9" i="14"/>
  <c r="AL10" i="14"/>
  <c r="AL11" i="14"/>
  <c r="AL12" i="14"/>
  <c r="AL13" i="14"/>
  <c r="AL14" i="14"/>
  <c r="AL15" i="14"/>
  <c r="AL16" i="14"/>
  <c r="AL17" i="14"/>
  <c r="AL18" i="14"/>
  <c r="AL19" i="14"/>
  <c r="AL20" i="14"/>
  <c r="AL21" i="14"/>
  <c r="AL22" i="14"/>
  <c r="AL23" i="14"/>
  <c r="AL24" i="14"/>
  <c r="AL25" i="14"/>
  <c r="AL26" i="14"/>
  <c r="AL27" i="14"/>
  <c r="AL28" i="14"/>
  <c r="AL29" i="14"/>
  <c r="AL30" i="14"/>
  <c r="AL31" i="14"/>
  <c r="AL32" i="14"/>
  <c r="AL33" i="14"/>
  <c r="AL34" i="14"/>
  <c r="AL35" i="14"/>
  <c r="AL36" i="14"/>
  <c r="AL37" i="14"/>
  <c r="AL38" i="14"/>
  <c r="AL39" i="14"/>
  <c r="AL40" i="14"/>
  <c r="AL41" i="14"/>
  <c r="AL42" i="14"/>
  <c r="AL43" i="14"/>
  <c r="AL44" i="14"/>
  <c r="AL45" i="14"/>
  <c r="AL46" i="14"/>
  <c r="AL47" i="14"/>
  <c r="AL48" i="14"/>
  <c r="AL49" i="14"/>
  <c r="AL50" i="14"/>
  <c r="AL51" i="14"/>
  <c r="AL52" i="14"/>
  <c r="AL53" i="14"/>
  <c r="AL54" i="14"/>
  <c r="AL55" i="14"/>
  <c r="AL56" i="14"/>
  <c r="AL57" i="14"/>
  <c r="AL58" i="14"/>
  <c r="AL59" i="14"/>
  <c r="AL60" i="14"/>
  <c r="AL61" i="14"/>
  <c r="AL62" i="14"/>
  <c r="AL63" i="14"/>
  <c r="AL64" i="14"/>
  <c r="AL65" i="14"/>
  <c r="AL66" i="14"/>
  <c r="AL67" i="14"/>
  <c r="AL68" i="14"/>
  <c r="AL69" i="14"/>
  <c r="AL70" i="14"/>
  <c r="AL71" i="14"/>
  <c r="AL72" i="14"/>
  <c r="AL73" i="14"/>
  <c r="AL74" i="14"/>
  <c r="AL75" i="14"/>
  <c r="AL76" i="14"/>
  <c r="AL77" i="14"/>
  <c r="AL78" i="14"/>
  <c r="AL79" i="14"/>
  <c r="AL80" i="14"/>
  <c r="AL81" i="14"/>
  <c r="AL82" i="14"/>
  <c r="AL83" i="14"/>
  <c r="AL84" i="14"/>
  <c r="AL85" i="14"/>
  <c r="AL86" i="14"/>
  <c r="AL87" i="14"/>
  <c r="AL88" i="14"/>
  <c r="AL89" i="14"/>
  <c r="AL90" i="14"/>
  <c r="AL91" i="14"/>
  <c r="AL92" i="14"/>
  <c r="AL93" i="14"/>
  <c r="AL94" i="14"/>
  <c r="AL95" i="14"/>
  <c r="AL96" i="14"/>
  <c r="AL97" i="14"/>
  <c r="AL98" i="14"/>
  <c r="AL99" i="14"/>
  <c r="AL100" i="14"/>
  <c r="AL101" i="14"/>
  <c r="AL102" i="14"/>
  <c r="AL103" i="14"/>
  <c r="AL104" i="14"/>
  <c r="AL105" i="14"/>
  <c r="AL106" i="14"/>
  <c r="AL107" i="14"/>
  <c r="AL108" i="14"/>
  <c r="AL109" i="14"/>
  <c r="AL110" i="14"/>
  <c r="AL111" i="14"/>
  <c r="AL112" i="14"/>
  <c r="AL113" i="14"/>
  <c r="AL114" i="14"/>
  <c r="AL115" i="14"/>
  <c r="AL116" i="14"/>
  <c r="AL117" i="14"/>
  <c r="AL118" i="14"/>
  <c r="AL119" i="14"/>
  <c r="AL120" i="14"/>
  <c r="AL121" i="14"/>
  <c r="AL122" i="14"/>
  <c r="AL123" i="14"/>
  <c r="AL124" i="14"/>
  <c r="AL125" i="14"/>
  <c r="AL126" i="14"/>
  <c r="AL127" i="14"/>
  <c r="AL128" i="14"/>
  <c r="AL129" i="14"/>
  <c r="AL130" i="14"/>
  <c r="AL131" i="14"/>
  <c r="AL132" i="14"/>
  <c r="AL133" i="14"/>
  <c r="AL134" i="14"/>
  <c r="AL135" i="14"/>
  <c r="AL136" i="14"/>
  <c r="AL137" i="14"/>
  <c r="AL138" i="14"/>
  <c r="AL139" i="14"/>
  <c r="AL140" i="14"/>
  <c r="AL141" i="14"/>
  <c r="AL142" i="14"/>
  <c r="AL143" i="14"/>
  <c r="AL144" i="14"/>
  <c r="AL145" i="14"/>
  <c r="AL146" i="14"/>
  <c r="AL147" i="14"/>
  <c r="AL148" i="14"/>
  <c r="AL149" i="14"/>
  <c r="AL150" i="14"/>
  <c r="AL151" i="14"/>
  <c r="AL152" i="14"/>
  <c r="AL153" i="14"/>
  <c r="AL154" i="14"/>
  <c r="AL155" i="14"/>
  <c r="AL156" i="14"/>
  <c r="AL157" i="14"/>
  <c r="AL158" i="14"/>
  <c r="AL159" i="14"/>
  <c r="AL160" i="14"/>
  <c r="AL161" i="14"/>
  <c r="AL162" i="14"/>
  <c r="AL163" i="14"/>
  <c r="AL164" i="14"/>
  <c r="AL165" i="14"/>
  <c r="AL166" i="14"/>
  <c r="AL167" i="14"/>
  <c r="AL168" i="14"/>
  <c r="AL169" i="14"/>
  <c r="AL170" i="14"/>
  <c r="AL171" i="14"/>
  <c r="AL172" i="14"/>
  <c r="AL173" i="14"/>
  <c r="AL174" i="14"/>
  <c r="AL175" i="14"/>
  <c r="AL176" i="14"/>
  <c r="AL177" i="14"/>
  <c r="AL178" i="14"/>
  <c r="AL179" i="14"/>
  <c r="AL180" i="14"/>
  <c r="AL181" i="14"/>
  <c r="AL182" i="14"/>
  <c r="AL183" i="14"/>
  <c r="AL184" i="14"/>
  <c r="AL185" i="14"/>
  <c r="AL186" i="14"/>
  <c r="AL187" i="14"/>
  <c r="AL188" i="14"/>
  <c r="AL189" i="14"/>
  <c r="AL190" i="14"/>
  <c r="AL191" i="14"/>
  <c r="AL192" i="14"/>
  <c r="AL193" i="14"/>
  <c r="AL194" i="14"/>
  <c r="AL195" i="14"/>
  <c r="AL196" i="14"/>
  <c r="AL197" i="14"/>
  <c r="AL198" i="14"/>
  <c r="AL199" i="14"/>
  <c r="AL200" i="14"/>
  <c r="AL201" i="14"/>
  <c r="AH4" i="14"/>
  <c r="AH5" i="14"/>
  <c r="AH6" i="14"/>
  <c r="AH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H40" i="14"/>
  <c r="AH41" i="14"/>
  <c r="AH42" i="14"/>
  <c r="AH43" i="14"/>
  <c r="AH44" i="14"/>
  <c r="AH45" i="14"/>
  <c r="AH46" i="14"/>
  <c r="AH47" i="14"/>
  <c r="AH48" i="14"/>
  <c r="AH49" i="14"/>
  <c r="AH50" i="14"/>
  <c r="AH51" i="14"/>
  <c r="AH52" i="14"/>
  <c r="AH53" i="14"/>
  <c r="AH54" i="14"/>
  <c r="AH55" i="14"/>
  <c r="AH56" i="14"/>
  <c r="AH57" i="14"/>
  <c r="AH58" i="14"/>
  <c r="AH59" i="14"/>
  <c r="AH60" i="14"/>
  <c r="AH61" i="14"/>
  <c r="AH62" i="14"/>
  <c r="AH63" i="14"/>
  <c r="AH64" i="14"/>
  <c r="AH65" i="14"/>
  <c r="AH66" i="14"/>
  <c r="AH67" i="14"/>
  <c r="AH68" i="14"/>
  <c r="AH69" i="14"/>
  <c r="AH70" i="14"/>
  <c r="AH71" i="14"/>
  <c r="AH72" i="14"/>
  <c r="AH73" i="14"/>
  <c r="AH74" i="14"/>
  <c r="AH75" i="14"/>
  <c r="AH76" i="14"/>
  <c r="AH77" i="14"/>
  <c r="AH78" i="14"/>
  <c r="AH79" i="14"/>
  <c r="AH80" i="14"/>
  <c r="AH81" i="14"/>
  <c r="AH82" i="14"/>
  <c r="AH83" i="14"/>
  <c r="AH84" i="14"/>
  <c r="AH85" i="14"/>
  <c r="AH86" i="14"/>
  <c r="AH87" i="14"/>
  <c r="AH88" i="14"/>
  <c r="AH89" i="14"/>
  <c r="AH90" i="14"/>
  <c r="AH91" i="14"/>
  <c r="AH92" i="14"/>
  <c r="AH93" i="14"/>
  <c r="AH94" i="14"/>
  <c r="AH95" i="14"/>
  <c r="AH96" i="14"/>
  <c r="AH97" i="14"/>
  <c r="AH98" i="14"/>
  <c r="AH99" i="14"/>
  <c r="AH100" i="14"/>
  <c r="AH101" i="14"/>
  <c r="AH102" i="14"/>
  <c r="AH103" i="14"/>
  <c r="AH104" i="14"/>
  <c r="AH105" i="14"/>
  <c r="AH106" i="14"/>
  <c r="AH107" i="14"/>
  <c r="AH108" i="14"/>
  <c r="AH109" i="14"/>
  <c r="AH110" i="14"/>
  <c r="AH111" i="14"/>
  <c r="AH112" i="14"/>
  <c r="AH113" i="14"/>
  <c r="AH114" i="14"/>
  <c r="AH115" i="14"/>
  <c r="AH116" i="14"/>
  <c r="AH117" i="14"/>
  <c r="AH118" i="14"/>
  <c r="AH119" i="14"/>
  <c r="AH120" i="14"/>
  <c r="AH121" i="14"/>
  <c r="AH122" i="14"/>
  <c r="AH123" i="14"/>
  <c r="AH124" i="14"/>
  <c r="AH125" i="14"/>
  <c r="AH126" i="14"/>
  <c r="AH127" i="14"/>
  <c r="AH128" i="14"/>
  <c r="AH129" i="14"/>
  <c r="AH130" i="14"/>
  <c r="AH131" i="14"/>
  <c r="AH132" i="14"/>
  <c r="AH133" i="14"/>
  <c r="AH134" i="14"/>
  <c r="AH135" i="14"/>
  <c r="AH136" i="14"/>
  <c r="AH137" i="14"/>
  <c r="AH138" i="14"/>
  <c r="AH139" i="14"/>
  <c r="AH140" i="14"/>
  <c r="AH141" i="14"/>
  <c r="AH142" i="14"/>
  <c r="AH143" i="14"/>
  <c r="AH144" i="14"/>
  <c r="AH145" i="14"/>
  <c r="AH146" i="14"/>
  <c r="AH147" i="14"/>
  <c r="AH148" i="14"/>
  <c r="AH149" i="14"/>
  <c r="AH150" i="14"/>
  <c r="AH151" i="14"/>
  <c r="AH152" i="14"/>
  <c r="AH153" i="14"/>
  <c r="AH154" i="14"/>
  <c r="AH155" i="14"/>
  <c r="AH156" i="14"/>
  <c r="AH157" i="14"/>
  <c r="AH158" i="14"/>
  <c r="AH159" i="14"/>
  <c r="AH160" i="14"/>
  <c r="AH161" i="14"/>
  <c r="AH162" i="14"/>
  <c r="AH163" i="14"/>
  <c r="AH164" i="14"/>
  <c r="AH165" i="14"/>
  <c r="AH166" i="14"/>
  <c r="AH167" i="14"/>
  <c r="AH168" i="14"/>
  <c r="AH169" i="14"/>
  <c r="AH170" i="14"/>
  <c r="AH171" i="14"/>
  <c r="AH172" i="14"/>
  <c r="AH173" i="14"/>
  <c r="AH174" i="14"/>
  <c r="AH175" i="14"/>
  <c r="AH176" i="14"/>
  <c r="AH177" i="14"/>
  <c r="AH178" i="14"/>
  <c r="AH179" i="14"/>
  <c r="AH180" i="14"/>
  <c r="AH181" i="14"/>
  <c r="AH182" i="14"/>
  <c r="AH183" i="14"/>
  <c r="AH184" i="14"/>
  <c r="AH185" i="14"/>
  <c r="AH186" i="14"/>
  <c r="AH187" i="14"/>
  <c r="AH188" i="14"/>
  <c r="AH189" i="14"/>
  <c r="AH190" i="14"/>
  <c r="AH191" i="14"/>
  <c r="AH192" i="14"/>
  <c r="AH193" i="14"/>
  <c r="AH194" i="14"/>
  <c r="AH195" i="14"/>
  <c r="AH196" i="14"/>
  <c r="AH197" i="14"/>
  <c r="AH198" i="14"/>
  <c r="AH199" i="14"/>
  <c r="AH200" i="14"/>
  <c r="AH201" i="1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0" i="14"/>
  <c r="Y71" i="14"/>
  <c r="Y72" i="14"/>
  <c r="Y73" i="14"/>
  <c r="Y74" i="14"/>
  <c r="Y75" i="14"/>
  <c r="Y76" i="14"/>
  <c r="Y77" i="14"/>
  <c r="Y78" i="14"/>
  <c r="Y79" i="14"/>
  <c r="Y80" i="14"/>
  <c r="Y81" i="14"/>
  <c r="Y82" i="14"/>
  <c r="Y83" i="14"/>
  <c r="Y84" i="14"/>
  <c r="Y85" i="14"/>
  <c r="Y86" i="14"/>
  <c r="Y87" i="14"/>
  <c r="Y88" i="14"/>
  <c r="Y89" i="14"/>
  <c r="Y90" i="14"/>
  <c r="Y91" i="14"/>
  <c r="Y92" i="14"/>
  <c r="Y93" i="14"/>
  <c r="Y94" i="14"/>
  <c r="Y95" i="14"/>
  <c r="Y96" i="14"/>
  <c r="Y97" i="14"/>
  <c r="Y98" i="14"/>
  <c r="Y99" i="14"/>
  <c r="Y100" i="14"/>
  <c r="Y101" i="14"/>
  <c r="Y102" i="14"/>
  <c r="Y103" i="14"/>
  <c r="Y104" i="14"/>
  <c r="Y105" i="14"/>
  <c r="Y106" i="14"/>
  <c r="Y107" i="14"/>
  <c r="Y108" i="14"/>
  <c r="Y109" i="14"/>
  <c r="Y110" i="14"/>
  <c r="Y111" i="14"/>
  <c r="Y112" i="14"/>
  <c r="Y113" i="14"/>
  <c r="Y114" i="14"/>
  <c r="Y115" i="14"/>
  <c r="Y116" i="14"/>
  <c r="Y117" i="14"/>
  <c r="Y118" i="14"/>
  <c r="Y119" i="14"/>
  <c r="Y120" i="14"/>
  <c r="Y121" i="14"/>
  <c r="Y122" i="14"/>
  <c r="Y123" i="14"/>
  <c r="Y124" i="14"/>
  <c r="Y125" i="14"/>
  <c r="Y126" i="14"/>
  <c r="Y127" i="14"/>
  <c r="Y128" i="14"/>
  <c r="Y129" i="14"/>
  <c r="Y130" i="14"/>
  <c r="Y131" i="14"/>
  <c r="Y132" i="14"/>
  <c r="Y133" i="14"/>
  <c r="Y134" i="14"/>
  <c r="Y135" i="14"/>
  <c r="Y136" i="14"/>
  <c r="Y137" i="14"/>
  <c r="Y138" i="14"/>
  <c r="Y139" i="14"/>
  <c r="Y140" i="14"/>
  <c r="Y141" i="14"/>
  <c r="Y142" i="14"/>
  <c r="Y143" i="14"/>
  <c r="Y144" i="14"/>
  <c r="Y145" i="14"/>
  <c r="Y146" i="14"/>
  <c r="Y147" i="14"/>
  <c r="Y148" i="14"/>
  <c r="Y149" i="14"/>
  <c r="Y150" i="14"/>
  <c r="Y151" i="14"/>
  <c r="Y152" i="14"/>
  <c r="Y153" i="14"/>
  <c r="Y154" i="14"/>
  <c r="Y155" i="14"/>
  <c r="Y156" i="14"/>
  <c r="Y157" i="14"/>
  <c r="Y158" i="14"/>
  <c r="Y159" i="14"/>
  <c r="Y160" i="14"/>
  <c r="Y161" i="14"/>
  <c r="Y162" i="14"/>
  <c r="Y163" i="14"/>
  <c r="Y164" i="14"/>
  <c r="Y165" i="14"/>
  <c r="Y166" i="14"/>
  <c r="Y167" i="14"/>
  <c r="Y168" i="14"/>
  <c r="Y169" i="14"/>
  <c r="Y170" i="14"/>
  <c r="Y171" i="14"/>
  <c r="Y172" i="14"/>
  <c r="Y173" i="14"/>
  <c r="Y174" i="14"/>
  <c r="Y175" i="14"/>
  <c r="Y176" i="14"/>
  <c r="Y177" i="14"/>
  <c r="Y178" i="14"/>
  <c r="Y179" i="14"/>
  <c r="Y180" i="14"/>
  <c r="Y181" i="14"/>
  <c r="Y182" i="14"/>
  <c r="Y183" i="14"/>
  <c r="Y184" i="14"/>
  <c r="Y185" i="14"/>
  <c r="Y186" i="14"/>
  <c r="Y187" i="14"/>
  <c r="Y188" i="14"/>
  <c r="Y189" i="14"/>
  <c r="Y190" i="14"/>
  <c r="Y191" i="14"/>
  <c r="Y192" i="14"/>
  <c r="Y193" i="14"/>
  <c r="Y194" i="14"/>
  <c r="Y195" i="14"/>
  <c r="Y196" i="14"/>
  <c r="Y197" i="14"/>
  <c r="Y198" i="14"/>
  <c r="Y199" i="14"/>
  <c r="Y200" i="14"/>
  <c r="Y201" i="14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U71" i="14"/>
  <c r="U72" i="14"/>
  <c r="U73" i="14"/>
  <c r="U74" i="14"/>
  <c r="U75" i="14"/>
  <c r="U76" i="14"/>
  <c r="U77" i="14"/>
  <c r="U78" i="14"/>
  <c r="U79" i="14"/>
  <c r="U80" i="14"/>
  <c r="U81" i="14"/>
  <c r="U82" i="14"/>
  <c r="U83" i="14"/>
  <c r="U84" i="14"/>
  <c r="U85" i="14"/>
  <c r="U86" i="14"/>
  <c r="U87" i="14"/>
  <c r="U88" i="14"/>
  <c r="U89" i="14"/>
  <c r="U90" i="14"/>
  <c r="U91" i="14"/>
  <c r="U92" i="14"/>
  <c r="U93" i="14"/>
  <c r="U94" i="14"/>
  <c r="U95" i="14"/>
  <c r="U96" i="14"/>
  <c r="U97" i="14"/>
  <c r="U98" i="14"/>
  <c r="U99" i="14"/>
  <c r="U100" i="14"/>
  <c r="U101" i="14"/>
  <c r="U102" i="14"/>
  <c r="U103" i="14"/>
  <c r="U104" i="14"/>
  <c r="U105" i="14"/>
  <c r="U106" i="14"/>
  <c r="U107" i="14"/>
  <c r="U108" i="14"/>
  <c r="U109" i="14"/>
  <c r="U110" i="14"/>
  <c r="U111" i="14"/>
  <c r="U112" i="14"/>
  <c r="U113" i="14"/>
  <c r="U114" i="14"/>
  <c r="U115" i="14"/>
  <c r="U116" i="14"/>
  <c r="U117" i="14"/>
  <c r="U118" i="14"/>
  <c r="U119" i="14"/>
  <c r="U120" i="14"/>
  <c r="U121" i="14"/>
  <c r="U122" i="14"/>
  <c r="U123" i="14"/>
  <c r="U124" i="14"/>
  <c r="U125" i="14"/>
  <c r="U126" i="14"/>
  <c r="U127" i="14"/>
  <c r="U128" i="14"/>
  <c r="U129" i="14"/>
  <c r="U130" i="14"/>
  <c r="U131" i="14"/>
  <c r="U132" i="14"/>
  <c r="U133" i="14"/>
  <c r="U134" i="14"/>
  <c r="U135" i="14"/>
  <c r="U136" i="14"/>
  <c r="U137" i="14"/>
  <c r="U138" i="14"/>
  <c r="U139" i="14"/>
  <c r="U140" i="14"/>
  <c r="U141" i="14"/>
  <c r="U142" i="14"/>
  <c r="U143" i="14"/>
  <c r="U144" i="14"/>
  <c r="U145" i="14"/>
  <c r="U146" i="14"/>
  <c r="U147" i="14"/>
  <c r="U148" i="14"/>
  <c r="U149" i="14"/>
  <c r="U150" i="14"/>
  <c r="U151" i="14"/>
  <c r="U152" i="14"/>
  <c r="U153" i="14"/>
  <c r="U154" i="14"/>
  <c r="U155" i="14"/>
  <c r="U156" i="14"/>
  <c r="U157" i="14"/>
  <c r="U158" i="14"/>
  <c r="U159" i="14"/>
  <c r="U160" i="14"/>
  <c r="U161" i="14"/>
  <c r="U162" i="14"/>
  <c r="U163" i="14"/>
  <c r="U164" i="14"/>
  <c r="U165" i="14"/>
  <c r="U166" i="14"/>
  <c r="U167" i="14"/>
  <c r="U168" i="14"/>
  <c r="U169" i="14"/>
  <c r="U170" i="14"/>
  <c r="U171" i="14"/>
  <c r="U172" i="14"/>
  <c r="U173" i="14"/>
  <c r="U174" i="14"/>
  <c r="U175" i="14"/>
  <c r="U176" i="14"/>
  <c r="U177" i="14"/>
  <c r="U178" i="14"/>
  <c r="U179" i="14"/>
  <c r="U180" i="14"/>
  <c r="U181" i="14"/>
  <c r="U182" i="14"/>
  <c r="U183" i="14"/>
  <c r="U184" i="14"/>
  <c r="U185" i="14"/>
  <c r="U186" i="14"/>
  <c r="U187" i="14"/>
  <c r="U188" i="14"/>
  <c r="U189" i="14"/>
  <c r="U190" i="14"/>
  <c r="U191" i="14"/>
  <c r="U192" i="14"/>
  <c r="U193" i="14"/>
  <c r="U194" i="14"/>
  <c r="U195" i="14"/>
  <c r="U196" i="14"/>
  <c r="U197" i="14"/>
  <c r="U198" i="14"/>
  <c r="U199" i="14"/>
  <c r="U200" i="14"/>
  <c r="U201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2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8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6" i="14"/>
  <c r="Q197" i="14"/>
  <c r="Q198" i="14"/>
  <c r="Q199" i="14"/>
  <c r="Q200" i="14"/>
  <c r="Q201" i="14"/>
  <c r="O161" i="2" l="1"/>
  <c r="O162" i="2"/>
  <c r="O163" i="2"/>
  <c r="O164" i="2"/>
  <c r="O155" i="2"/>
  <c r="O154" i="2"/>
  <c r="N26" i="2"/>
  <c r="BG4" i="13"/>
  <c r="BG5" i="13"/>
  <c r="BG6" i="13"/>
  <c r="BG7" i="13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99" i="13"/>
  <c r="BG100" i="13"/>
  <c r="BG101" i="13"/>
  <c r="BG102" i="13"/>
  <c r="BG103" i="13"/>
  <c r="BG104" i="13"/>
  <c r="BG105" i="13"/>
  <c r="BG106" i="13"/>
  <c r="BG107" i="13"/>
  <c r="BG108" i="13"/>
  <c r="BG109" i="13"/>
  <c r="BG110" i="13"/>
  <c r="BG111" i="13"/>
  <c r="BG112" i="13"/>
  <c r="BG113" i="13"/>
  <c r="BG114" i="13"/>
  <c r="BG115" i="13"/>
  <c r="BG116" i="13"/>
  <c r="BG117" i="13"/>
  <c r="BG118" i="13"/>
  <c r="BG119" i="13"/>
  <c r="BG120" i="13"/>
  <c r="BG121" i="13"/>
  <c r="BG122" i="13"/>
  <c r="BG123" i="13"/>
  <c r="BG124" i="13"/>
  <c r="BG125" i="13"/>
  <c r="BG126" i="13"/>
  <c r="BG127" i="13"/>
  <c r="BG128" i="13"/>
  <c r="BG129" i="13"/>
  <c r="BG130" i="13"/>
  <c r="BG131" i="13"/>
  <c r="BG132" i="13"/>
  <c r="BG133" i="13"/>
  <c r="BG134" i="13"/>
  <c r="BG135" i="13"/>
  <c r="BG136" i="13"/>
  <c r="BG137" i="13"/>
  <c r="BG138" i="13"/>
  <c r="BG139" i="13"/>
  <c r="BG140" i="13"/>
  <c r="BG141" i="13"/>
  <c r="BG142" i="13"/>
  <c r="BG143" i="13"/>
  <c r="BG144" i="13"/>
  <c r="BG145" i="13"/>
  <c r="BG146" i="13"/>
  <c r="BG147" i="13"/>
  <c r="BG148" i="13"/>
  <c r="BG149" i="13"/>
  <c r="BG150" i="13"/>
  <c r="BG151" i="13"/>
  <c r="BG152" i="13"/>
  <c r="BG153" i="13"/>
  <c r="BG154" i="13"/>
  <c r="BG155" i="13"/>
  <c r="BG156" i="13"/>
  <c r="BG157" i="13"/>
  <c r="BG158" i="13"/>
  <c r="BG159" i="13"/>
  <c r="BG160" i="13"/>
  <c r="BG161" i="13"/>
  <c r="BG162" i="13"/>
  <c r="BG163" i="13"/>
  <c r="BG164" i="13"/>
  <c r="BG165" i="13"/>
  <c r="BG166" i="13"/>
  <c r="BG167" i="13"/>
  <c r="BG168" i="13"/>
  <c r="BG169" i="13"/>
  <c r="BG170" i="13"/>
  <c r="BG171" i="13"/>
  <c r="BG172" i="13"/>
  <c r="BG173" i="13"/>
  <c r="BG174" i="13"/>
  <c r="BG175" i="13"/>
  <c r="BG176" i="13"/>
  <c r="BG177" i="13"/>
  <c r="BG178" i="13"/>
  <c r="BG179" i="13"/>
  <c r="BG180" i="13"/>
  <c r="BG181" i="13"/>
  <c r="BG182" i="13"/>
  <c r="BG183" i="13"/>
  <c r="BG184" i="13"/>
  <c r="BG185" i="13"/>
  <c r="BG186" i="13"/>
  <c r="BG187" i="13"/>
  <c r="BG188" i="13"/>
  <c r="BG189" i="13"/>
  <c r="BG190" i="13"/>
  <c r="BG191" i="13"/>
  <c r="BG192" i="13"/>
  <c r="BG193" i="13"/>
  <c r="BG194" i="13"/>
  <c r="BG195" i="13"/>
  <c r="BG196" i="13"/>
  <c r="BG197" i="13"/>
  <c r="BG198" i="13"/>
  <c r="BG199" i="13"/>
  <c r="BG200" i="13"/>
  <c r="BG201" i="13"/>
  <c r="BC4" i="13"/>
  <c r="BC5" i="13"/>
  <c r="BC6" i="13"/>
  <c r="BC7" i="13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C99" i="13"/>
  <c r="BC100" i="13"/>
  <c r="BC101" i="13"/>
  <c r="BC102" i="13"/>
  <c r="BC103" i="13"/>
  <c r="BC104" i="13"/>
  <c r="BC105" i="13"/>
  <c r="BC106" i="13"/>
  <c r="BC107" i="13"/>
  <c r="BC108" i="13"/>
  <c r="BC109" i="13"/>
  <c r="BC110" i="13"/>
  <c r="BC111" i="13"/>
  <c r="BC112" i="13"/>
  <c r="BC113" i="13"/>
  <c r="BC114" i="13"/>
  <c r="BC115" i="13"/>
  <c r="BC116" i="13"/>
  <c r="BC117" i="13"/>
  <c r="BC118" i="13"/>
  <c r="BC119" i="13"/>
  <c r="BC120" i="13"/>
  <c r="BC121" i="13"/>
  <c r="BC122" i="13"/>
  <c r="BC123" i="13"/>
  <c r="BC124" i="13"/>
  <c r="BC125" i="13"/>
  <c r="BC126" i="13"/>
  <c r="BC127" i="13"/>
  <c r="BC128" i="13"/>
  <c r="BC129" i="13"/>
  <c r="BC130" i="13"/>
  <c r="BC131" i="13"/>
  <c r="BC132" i="13"/>
  <c r="BC133" i="13"/>
  <c r="BC134" i="13"/>
  <c r="BC135" i="13"/>
  <c r="BC136" i="13"/>
  <c r="BC137" i="13"/>
  <c r="BC138" i="13"/>
  <c r="BC139" i="13"/>
  <c r="BC140" i="13"/>
  <c r="BC141" i="13"/>
  <c r="BC142" i="13"/>
  <c r="BC143" i="13"/>
  <c r="BC144" i="13"/>
  <c r="BC145" i="13"/>
  <c r="BC146" i="13"/>
  <c r="BC147" i="13"/>
  <c r="BC148" i="13"/>
  <c r="BC149" i="13"/>
  <c r="BC150" i="13"/>
  <c r="BC151" i="13"/>
  <c r="BC152" i="13"/>
  <c r="BC153" i="13"/>
  <c r="BC154" i="13"/>
  <c r="BC155" i="13"/>
  <c r="BC156" i="13"/>
  <c r="BC157" i="13"/>
  <c r="BC158" i="13"/>
  <c r="BC159" i="13"/>
  <c r="BC160" i="13"/>
  <c r="BC161" i="13"/>
  <c r="BC162" i="13"/>
  <c r="BC163" i="13"/>
  <c r="BC164" i="13"/>
  <c r="BC165" i="13"/>
  <c r="BC166" i="13"/>
  <c r="BC167" i="13"/>
  <c r="BC168" i="13"/>
  <c r="BC169" i="13"/>
  <c r="BC170" i="13"/>
  <c r="BC171" i="13"/>
  <c r="BC172" i="13"/>
  <c r="BC173" i="13"/>
  <c r="BC174" i="13"/>
  <c r="BC175" i="13"/>
  <c r="BC176" i="13"/>
  <c r="BC177" i="13"/>
  <c r="BC178" i="13"/>
  <c r="BC179" i="13"/>
  <c r="BC180" i="13"/>
  <c r="BC181" i="13"/>
  <c r="BC182" i="13"/>
  <c r="BC183" i="13"/>
  <c r="BC184" i="13"/>
  <c r="BC185" i="13"/>
  <c r="BC186" i="13"/>
  <c r="BC187" i="13"/>
  <c r="BC188" i="13"/>
  <c r="BC189" i="13"/>
  <c r="BC190" i="13"/>
  <c r="BC191" i="13"/>
  <c r="BC192" i="13"/>
  <c r="BC193" i="13"/>
  <c r="BC194" i="13"/>
  <c r="BC195" i="13"/>
  <c r="BC196" i="13"/>
  <c r="BC197" i="13"/>
  <c r="BC198" i="13"/>
  <c r="BC199" i="13"/>
  <c r="BC200" i="13"/>
  <c r="BC201" i="13"/>
  <c r="AY4" i="13"/>
  <c r="AY5" i="13"/>
  <c r="AY6" i="13"/>
  <c r="AY7" i="13"/>
  <c r="AY8" i="13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1" i="13"/>
  <c r="AY22" i="13"/>
  <c r="AY23" i="13"/>
  <c r="AY24" i="13"/>
  <c r="AY25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Y38" i="13"/>
  <c r="AY39" i="13"/>
  <c r="AY40" i="13"/>
  <c r="AY41" i="13"/>
  <c r="AY42" i="13"/>
  <c r="AY43" i="13"/>
  <c r="AY44" i="13"/>
  <c r="AY45" i="13"/>
  <c r="AY46" i="13"/>
  <c r="AY47" i="13"/>
  <c r="AY48" i="13"/>
  <c r="AY49" i="13"/>
  <c r="AY50" i="13"/>
  <c r="AY51" i="13"/>
  <c r="AY52" i="13"/>
  <c r="AY53" i="13"/>
  <c r="AY54" i="13"/>
  <c r="AY55" i="13"/>
  <c r="AY56" i="13"/>
  <c r="AY57" i="13"/>
  <c r="AY58" i="13"/>
  <c r="AY59" i="13"/>
  <c r="AY60" i="13"/>
  <c r="AY61" i="13"/>
  <c r="AY62" i="13"/>
  <c r="AY63" i="13"/>
  <c r="AY64" i="13"/>
  <c r="AY65" i="13"/>
  <c r="AY66" i="13"/>
  <c r="AY67" i="13"/>
  <c r="AY68" i="13"/>
  <c r="AY69" i="13"/>
  <c r="AY70" i="13"/>
  <c r="AY71" i="13"/>
  <c r="AY72" i="13"/>
  <c r="AY73" i="13"/>
  <c r="AY74" i="13"/>
  <c r="AY75" i="13"/>
  <c r="AY76" i="13"/>
  <c r="AY77" i="13"/>
  <c r="AY78" i="13"/>
  <c r="AY79" i="13"/>
  <c r="AY80" i="13"/>
  <c r="AY81" i="13"/>
  <c r="AY82" i="13"/>
  <c r="AY83" i="13"/>
  <c r="AY84" i="13"/>
  <c r="AY85" i="13"/>
  <c r="AY86" i="13"/>
  <c r="AY87" i="13"/>
  <c r="AY88" i="13"/>
  <c r="AY89" i="13"/>
  <c r="AY90" i="13"/>
  <c r="AY91" i="13"/>
  <c r="AY92" i="13"/>
  <c r="AY93" i="13"/>
  <c r="AY94" i="13"/>
  <c r="AY95" i="13"/>
  <c r="AY96" i="13"/>
  <c r="AY97" i="13"/>
  <c r="AY98" i="13"/>
  <c r="AY99" i="13"/>
  <c r="AY100" i="13"/>
  <c r="AY101" i="13"/>
  <c r="AY102" i="13"/>
  <c r="AY103" i="13"/>
  <c r="AY104" i="13"/>
  <c r="AY105" i="13"/>
  <c r="AY106" i="13"/>
  <c r="AY107" i="13"/>
  <c r="AY108" i="13"/>
  <c r="AY109" i="13"/>
  <c r="AY110" i="13"/>
  <c r="AY111" i="13"/>
  <c r="AY112" i="13"/>
  <c r="AY113" i="13"/>
  <c r="AY114" i="13"/>
  <c r="AY115" i="13"/>
  <c r="AY116" i="13"/>
  <c r="AY117" i="13"/>
  <c r="AY118" i="13"/>
  <c r="AY119" i="13"/>
  <c r="AY120" i="13"/>
  <c r="AY121" i="13"/>
  <c r="AY122" i="13"/>
  <c r="AY123" i="13"/>
  <c r="AY124" i="13"/>
  <c r="AY125" i="13"/>
  <c r="AY126" i="13"/>
  <c r="AY127" i="13"/>
  <c r="AY128" i="13"/>
  <c r="AY129" i="13"/>
  <c r="AY130" i="13"/>
  <c r="AY131" i="13"/>
  <c r="AY132" i="13"/>
  <c r="AY133" i="13"/>
  <c r="AY134" i="13"/>
  <c r="AY135" i="13"/>
  <c r="AY136" i="13"/>
  <c r="AY137" i="13"/>
  <c r="AY138" i="13"/>
  <c r="AY139" i="13"/>
  <c r="AY140" i="13"/>
  <c r="AY141" i="13"/>
  <c r="AY142" i="13"/>
  <c r="AY143" i="13"/>
  <c r="AY144" i="13"/>
  <c r="AY145" i="13"/>
  <c r="AY146" i="13"/>
  <c r="AY147" i="13"/>
  <c r="AY148" i="13"/>
  <c r="AY149" i="13"/>
  <c r="AY150" i="13"/>
  <c r="AY151" i="13"/>
  <c r="AY152" i="13"/>
  <c r="AY153" i="13"/>
  <c r="AY154" i="13"/>
  <c r="AY155" i="13"/>
  <c r="AY156" i="13"/>
  <c r="AY157" i="13"/>
  <c r="AY158" i="13"/>
  <c r="AY159" i="13"/>
  <c r="AY160" i="13"/>
  <c r="AY161" i="13"/>
  <c r="AY162" i="13"/>
  <c r="AY163" i="13"/>
  <c r="AY164" i="13"/>
  <c r="AY165" i="13"/>
  <c r="AY166" i="13"/>
  <c r="AY167" i="13"/>
  <c r="AY168" i="13"/>
  <c r="AY169" i="13"/>
  <c r="AY170" i="13"/>
  <c r="AY171" i="13"/>
  <c r="AY172" i="13"/>
  <c r="AY173" i="13"/>
  <c r="AY174" i="13"/>
  <c r="AY175" i="13"/>
  <c r="AY176" i="13"/>
  <c r="AY177" i="13"/>
  <c r="AY178" i="13"/>
  <c r="AY179" i="13"/>
  <c r="AY180" i="13"/>
  <c r="AY181" i="13"/>
  <c r="AY182" i="13"/>
  <c r="AY183" i="13"/>
  <c r="AY184" i="13"/>
  <c r="AY185" i="13"/>
  <c r="AY186" i="13"/>
  <c r="AY187" i="13"/>
  <c r="AY188" i="13"/>
  <c r="AY189" i="13"/>
  <c r="AY190" i="13"/>
  <c r="AY191" i="13"/>
  <c r="AY192" i="13"/>
  <c r="AY193" i="13"/>
  <c r="AY194" i="13"/>
  <c r="AY195" i="13"/>
  <c r="AY196" i="13"/>
  <c r="AY197" i="13"/>
  <c r="AY198" i="13"/>
  <c r="AY199" i="13"/>
  <c r="AY200" i="13"/>
  <c r="AY201" i="13"/>
  <c r="AP4" i="13"/>
  <c r="AP5" i="13"/>
  <c r="AP6" i="13"/>
  <c r="AP7" i="13"/>
  <c r="AP8" i="13"/>
  <c r="AP9" i="13"/>
  <c r="AP10" i="13"/>
  <c r="AP11" i="13"/>
  <c r="AP12" i="13"/>
  <c r="AP13" i="13"/>
  <c r="AP14" i="13"/>
  <c r="AP15" i="13"/>
  <c r="AP16" i="13"/>
  <c r="AP17" i="13"/>
  <c r="AP18" i="13"/>
  <c r="AP19" i="13"/>
  <c r="AP20" i="13"/>
  <c r="AP21" i="13"/>
  <c r="AP22" i="13"/>
  <c r="AP23" i="13"/>
  <c r="AP24" i="13"/>
  <c r="AP25" i="13"/>
  <c r="AP26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40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53" i="13"/>
  <c r="AP54" i="13"/>
  <c r="AP55" i="13"/>
  <c r="AP56" i="13"/>
  <c r="AP57" i="13"/>
  <c r="AP58" i="13"/>
  <c r="AP59" i="13"/>
  <c r="AP60" i="13"/>
  <c r="AP61" i="13"/>
  <c r="AP62" i="13"/>
  <c r="AP63" i="13"/>
  <c r="AP64" i="13"/>
  <c r="AP65" i="13"/>
  <c r="AP66" i="13"/>
  <c r="AP67" i="13"/>
  <c r="AP68" i="13"/>
  <c r="AP69" i="13"/>
  <c r="AP70" i="13"/>
  <c r="AP71" i="13"/>
  <c r="AP72" i="13"/>
  <c r="AP73" i="13"/>
  <c r="AP74" i="13"/>
  <c r="AP75" i="13"/>
  <c r="AP76" i="13"/>
  <c r="AP77" i="13"/>
  <c r="AP78" i="13"/>
  <c r="AP79" i="13"/>
  <c r="AP80" i="13"/>
  <c r="AP81" i="13"/>
  <c r="AP82" i="13"/>
  <c r="AP83" i="13"/>
  <c r="AP84" i="13"/>
  <c r="AP85" i="13"/>
  <c r="AP86" i="13"/>
  <c r="AP87" i="13"/>
  <c r="AP88" i="13"/>
  <c r="AP89" i="13"/>
  <c r="AP90" i="13"/>
  <c r="AP91" i="13"/>
  <c r="AP92" i="13"/>
  <c r="AP93" i="13"/>
  <c r="AP94" i="13"/>
  <c r="AP95" i="13"/>
  <c r="AP96" i="13"/>
  <c r="AP97" i="13"/>
  <c r="AP98" i="13"/>
  <c r="AP99" i="13"/>
  <c r="AP100" i="13"/>
  <c r="AP101" i="13"/>
  <c r="AP102" i="13"/>
  <c r="AP103" i="13"/>
  <c r="AP104" i="13"/>
  <c r="AP105" i="13"/>
  <c r="AP106" i="13"/>
  <c r="AP107" i="13"/>
  <c r="AP108" i="13"/>
  <c r="AP109" i="13"/>
  <c r="AP110" i="13"/>
  <c r="AP111" i="13"/>
  <c r="AP112" i="13"/>
  <c r="AP113" i="13"/>
  <c r="AP114" i="13"/>
  <c r="AP115" i="13"/>
  <c r="AP116" i="13"/>
  <c r="AP117" i="13"/>
  <c r="AP118" i="13"/>
  <c r="AP119" i="13"/>
  <c r="AP120" i="13"/>
  <c r="AP121" i="13"/>
  <c r="AP122" i="13"/>
  <c r="AP123" i="13"/>
  <c r="AP124" i="13"/>
  <c r="AP125" i="13"/>
  <c r="AP126" i="13"/>
  <c r="AP127" i="13"/>
  <c r="AP128" i="13"/>
  <c r="AP129" i="13"/>
  <c r="AP130" i="13"/>
  <c r="AP131" i="13"/>
  <c r="AP132" i="13"/>
  <c r="AP133" i="13"/>
  <c r="AP134" i="13"/>
  <c r="AP135" i="13"/>
  <c r="AP136" i="13"/>
  <c r="AP137" i="13"/>
  <c r="AP138" i="13"/>
  <c r="AP139" i="13"/>
  <c r="AP140" i="13"/>
  <c r="AP141" i="13"/>
  <c r="AP142" i="13"/>
  <c r="AP143" i="13"/>
  <c r="AP144" i="13"/>
  <c r="AP145" i="13"/>
  <c r="AP146" i="13"/>
  <c r="AP147" i="13"/>
  <c r="AP148" i="13"/>
  <c r="AP149" i="13"/>
  <c r="AP150" i="13"/>
  <c r="AP151" i="13"/>
  <c r="AP152" i="13"/>
  <c r="AP153" i="13"/>
  <c r="AP154" i="13"/>
  <c r="AP155" i="13"/>
  <c r="AP156" i="13"/>
  <c r="AP157" i="13"/>
  <c r="AP158" i="13"/>
  <c r="AP159" i="13"/>
  <c r="AP160" i="13"/>
  <c r="AP161" i="13"/>
  <c r="AP162" i="13"/>
  <c r="AP163" i="13"/>
  <c r="AP164" i="13"/>
  <c r="AP165" i="13"/>
  <c r="AP166" i="13"/>
  <c r="AP167" i="13"/>
  <c r="AP168" i="13"/>
  <c r="AP169" i="13"/>
  <c r="AP170" i="13"/>
  <c r="AP171" i="13"/>
  <c r="AP172" i="13"/>
  <c r="AP173" i="13"/>
  <c r="AP174" i="13"/>
  <c r="AP175" i="13"/>
  <c r="AP176" i="13"/>
  <c r="AP177" i="13"/>
  <c r="AP178" i="13"/>
  <c r="AP179" i="13"/>
  <c r="AP180" i="13"/>
  <c r="AP181" i="13"/>
  <c r="AP182" i="13"/>
  <c r="AP183" i="13"/>
  <c r="AP184" i="13"/>
  <c r="AP185" i="13"/>
  <c r="AP186" i="13"/>
  <c r="AP187" i="13"/>
  <c r="AP188" i="13"/>
  <c r="AP189" i="13"/>
  <c r="AP190" i="13"/>
  <c r="AP191" i="13"/>
  <c r="AP192" i="13"/>
  <c r="AP193" i="13"/>
  <c r="AP194" i="13"/>
  <c r="AP195" i="13"/>
  <c r="AP196" i="13"/>
  <c r="AP197" i="13"/>
  <c r="AP198" i="13"/>
  <c r="AP199" i="13"/>
  <c r="AP200" i="13"/>
  <c r="AP201" i="13"/>
  <c r="AL4" i="13"/>
  <c r="AL5" i="13"/>
  <c r="AL6" i="13"/>
  <c r="AL7" i="13"/>
  <c r="AL8" i="13"/>
  <c r="AL9" i="13"/>
  <c r="AL10" i="13"/>
  <c r="AL11" i="13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AL32" i="13"/>
  <c r="AL33" i="13"/>
  <c r="AL34" i="13"/>
  <c r="AL35" i="13"/>
  <c r="AL36" i="13"/>
  <c r="AL37" i="13"/>
  <c r="AL38" i="13"/>
  <c r="AL39" i="13"/>
  <c r="AL40" i="13"/>
  <c r="AL41" i="13"/>
  <c r="AL42" i="13"/>
  <c r="AL43" i="13"/>
  <c r="AL44" i="13"/>
  <c r="AL45" i="13"/>
  <c r="AL46" i="13"/>
  <c r="AL47" i="13"/>
  <c r="AL48" i="13"/>
  <c r="AL49" i="13"/>
  <c r="AL50" i="13"/>
  <c r="AL51" i="13"/>
  <c r="AL52" i="13"/>
  <c r="AL53" i="13"/>
  <c r="AL54" i="13"/>
  <c r="AL55" i="13"/>
  <c r="AL56" i="13"/>
  <c r="AL57" i="13"/>
  <c r="AL58" i="13"/>
  <c r="AL59" i="13"/>
  <c r="AL60" i="13"/>
  <c r="AL61" i="13"/>
  <c r="AL62" i="13"/>
  <c r="AL63" i="13"/>
  <c r="AL64" i="13"/>
  <c r="AL65" i="13"/>
  <c r="AL66" i="13"/>
  <c r="AL67" i="13"/>
  <c r="AL68" i="13"/>
  <c r="AL69" i="13"/>
  <c r="AL70" i="13"/>
  <c r="AL71" i="13"/>
  <c r="AL72" i="13"/>
  <c r="AL73" i="13"/>
  <c r="AL74" i="13"/>
  <c r="AL75" i="13"/>
  <c r="AL76" i="13"/>
  <c r="AL77" i="13"/>
  <c r="AL78" i="13"/>
  <c r="AL79" i="13"/>
  <c r="AL80" i="13"/>
  <c r="AL81" i="13"/>
  <c r="AL82" i="13"/>
  <c r="AL83" i="13"/>
  <c r="AL84" i="13"/>
  <c r="AL85" i="13"/>
  <c r="AL86" i="13"/>
  <c r="AL87" i="13"/>
  <c r="AL88" i="13"/>
  <c r="AL89" i="13"/>
  <c r="AL90" i="13"/>
  <c r="AL91" i="13"/>
  <c r="AL92" i="13"/>
  <c r="AL93" i="13"/>
  <c r="AL94" i="13"/>
  <c r="AL95" i="13"/>
  <c r="AL96" i="13"/>
  <c r="AL97" i="13"/>
  <c r="AL98" i="13"/>
  <c r="AL99" i="13"/>
  <c r="AL100" i="13"/>
  <c r="AL101" i="13"/>
  <c r="AL102" i="13"/>
  <c r="AL103" i="13"/>
  <c r="AL104" i="13"/>
  <c r="AL105" i="13"/>
  <c r="AL106" i="13"/>
  <c r="AL107" i="13"/>
  <c r="AL108" i="13"/>
  <c r="AL109" i="13"/>
  <c r="AL110" i="13"/>
  <c r="AL111" i="13"/>
  <c r="AL112" i="13"/>
  <c r="AL113" i="13"/>
  <c r="AL114" i="13"/>
  <c r="AL115" i="13"/>
  <c r="AL116" i="13"/>
  <c r="AL117" i="13"/>
  <c r="AL118" i="13"/>
  <c r="AL119" i="13"/>
  <c r="AL120" i="13"/>
  <c r="AL121" i="13"/>
  <c r="AL122" i="13"/>
  <c r="AL123" i="13"/>
  <c r="AL124" i="13"/>
  <c r="AL125" i="13"/>
  <c r="AL126" i="13"/>
  <c r="AL127" i="13"/>
  <c r="AL128" i="13"/>
  <c r="AL129" i="13"/>
  <c r="AL130" i="13"/>
  <c r="AL131" i="13"/>
  <c r="AL132" i="13"/>
  <c r="AL133" i="13"/>
  <c r="AL134" i="13"/>
  <c r="AL135" i="13"/>
  <c r="AL136" i="13"/>
  <c r="AL137" i="13"/>
  <c r="AL138" i="13"/>
  <c r="AL139" i="13"/>
  <c r="AL140" i="13"/>
  <c r="AL141" i="13"/>
  <c r="AL142" i="13"/>
  <c r="AL143" i="13"/>
  <c r="AL144" i="13"/>
  <c r="AL145" i="13"/>
  <c r="AL146" i="13"/>
  <c r="AL147" i="13"/>
  <c r="AL148" i="13"/>
  <c r="AL149" i="13"/>
  <c r="AL150" i="13"/>
  <c r="AL151" i="13"/>
  <c r="AL152" i="13"/>
  <c r="AL153" i="13"/>
  <c r="AL154" i="13"/>
  <c r="AL155" i="13"/>
  <c r="AL156" i="13"/>
  <c r="AL157" i="13"/>
  <c r="AL158" i="13"/>
  <c r="AL159" i="13"/>
  <c r="AL160" i="13"/>
  <c r="AL161" i="13"/>
  <c r="AL162" i="13"/>
  <c r="AL163" i="13"/>
  <c r="AL164" i="13"/>
  <c r="AL165" i="13"/>
  <c r="AL166" i="13"/>
  <c r="AL167" i="13"/>
  <c r="AL168" i="13"/>
  <c r="AL169" i="13"/>
  <c r="AL170" i="13"/>
  <c r="AL171" i="13"/>
  <c r="AL172" i="13"/>
  <c r="AL173" i="13"/>
  <c r="AL174" i="13"/>
  <c r="AL175" i="13"/>
  <c r="AL176" i="13"/>
  <c r="AL177" i="13"/>
  <c r="AL178" i="13"/>
  <c r="AL179" i="13"/>
  <c r="AL180" i="13"/>
  <c r="AL181" i="13"/>
  <c r="AL182" i="13"/>
  <c r="AL183" i="13"/>
  <c r="AL184" i="13"/>
  <c r="AL185" i="13"/>
  <c r="AL186" i="13"/>
  <c r="AL187" i="13"/>
  <c r="AL188" i="13"/>
  <c r="AL189" i="13"/>
  <c r="AL190" i="13"/>
  <c r="AL191" i="13"/>
  <c r="AL192" i="13"/>
  <c r="AL193" i="13"/>
  <c r="AL194" i="13"/>
  <c r="AL195" i="13"/>
  <c r="AL196" i="13"/>
  <c r="AL197" i="13"/>
  <c r="AL198" i="13"/>
  <c r="AL199" i="13"/>
  <c r="AL200" i="13"/>
  <c r="AL201" i="13"/>
  <c r="AH4" i="13"/>
  <c r="AH5" i="13"/>
  <c r="AH6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0" i="13"/>
  <c r="AH71" i="13"/>
  <c r="AH72" i="13"/>
  <c r="AH73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H86" i="13"/>
  <c r="AH87" i="13"/>
  <c r="AH88" i="13"/>
  <c r="AH89" i="13"/>
  <c r="AH90" i="13"/>
  <c r="AH91" i="13"/>
  <c r="AH92" i="13"/>
  <c r="AH93" i="13"/>
  <c r="AH94" i="13"/>
  <c r="AH95" i="13"/>
  <c r="AH96" i="13"/>
  <c r="AH97" i="13"/>
  <c r="AH98" i="13"/>
  <c r="AH99" i="13"/>
  <c r="AH100" i="13"/>
  <c r="AH101" i="13"/>
  <c r="AH102" i="13"/>
  <c r="AH103" i="13"/>
  <c r="AH104" i="13"/>
  <c r="AH105" i="13"/>
  <c r="AH106" i="13"/>
  <c r="AH107" i="13"/>
  <c r="AH108" i="13"/>
  <c r="AH109" i="13"/>
  <c r="AH110" i="13"/>
  <c r="AH111" i="13"/>
  <c r="AH112" i="13"/>
  <c r="AH113" i="13"/>
  <c r="AH114" i="13"/>
  <c r="AH115" i="13"/>
  <c r="AH116" i="13"/>
  <c r="AH117" i="13"/>
  <c r="AH118" i="13"/>
  <c r="AH119" i="13"/>
  <c r="AH120" i="13"/>
  <c r="AH121" i="13"/>
  <c r="AH122" i="13"/>
  <c r="AH123" i="13"/>
  <c r="AH124" i="13"/>
  <c r="AH125" i="13"/>
  <c r="AH126" i="13"/>
  <c r="AH127" i="13"/>
  <c r="AH128" i="13"/>
  <c r="AH129" i="13"/>
  <c r="AH130" i="13"/>
  <c r="AH131" i="13"/>
  <c r="AH132" i="13"/>
  <c r="AH133" i="13"/>
  <c r="AH134" i="13"/>
  <c r="AH135" i="13"/>
  <c r="AH136" i="13"/>
  <c r="AH137" i="13"/>
  <c r="AH138" i="13"/>
  <c r="AH139" i="13"/>
  <c r="AH140" i="13"/>
  <c r="AH141" i="13"/>
  <c r="AH142" i="13"/>
  <c r="AH143" i="13"/>
  <c r="AH144" i="13"/>
  <c r="AH145" i="13"/>
  <c r="AH146" i="13"/>
  <c r="AH147" i="13"/>
  <c r="AH148" i="13"/>
  <c r="AH149" i="13"/>
  <c r="AH150" i="13"/>
  <c r="AH151" i="13"/>
  <c r="AH152" i="13"/>
  <c r="AH153" i="13"/>
  <c r="AH154" i="13"/>
  <c r="AH155" i="13"/>
  <c r="AH156" i="13"/>
  <c r="AH157" i="13"/>
  <c r="AH158" i="13"/>
  <c r="AH159" i="13"/>
  <c r="AH160" i="13"/>
  <c r="AH161" i="13"/>
  <c r="AH162" i="13"/>
  <c r="AH163" i="13"/>
  <c r="AH164" i="13"/>
  <c r="AH165" i="13"/>
  <c r="AH166" i="13"/>
  <c r="AH167" i="13"/>
  <c r="AH168" i="13"/>
  <c r="AH169" i="13"/>
  <c r="AH170" i="13"/>
  <c r="AH171" i="13"/>
  <c r="AH172" i="13"/>
  <c r="AH173" i="13"/>
  <c r="AH174" i="13"/>
  <c r="AH175" i="13"/>
  <c r="AH176" i="13"/>
  <c r="AH177" i="13"/>
  <c r="AH178" i="13"/>
  <c r="AH179" i="13"/>
  <c r="AH180" i="13"/>
  <c r="AH181" i="13"/>
  <c r="AH182" i="13"/>
  <c r="AH183" i="13"/>
  <c r="AH184" i="13"/>
  <c r="AH185" i="13"/>
  <c r="AH186" i="13"/>
  <c r="AH187" i="13"/>
  <c r="AH188" i="13"/>
  <c r="AH189" i="13"/>
  <c r="AH190" i="13"/>
  <c r="AH191" i="13"/>
  <c r="AH192" i="13"/>
  <c r="AH193" i="13"/>
  <c r="AH194" i="13"/>
  <c r="AH195" i="13"/>
  <c r="AH196" i="13"/>
  <c r="AH197" i="13"/>
  <c r="AH198" i="13"/>
  <c r="AH199" i="13"/>
  <c r="AH200" i="13"/>
  <c r="AH201" i="13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Y81" i="13"/>
  <c r="Y82" i="13"/>
  <c r="Y83" i="13"/>
  <c r="Y84" i="13"/>
  <c r="Y85" i="13"/>
  <c r="Y86" i="13"/>
  <c r="Y87" i="13"/>
  <c r="Y88" i="13"/>
  <c r="Y89" i="13"/>
  <c r="Y90" i="13"/>
  <c r="Y91" i="13"/>
  <c r="Y92" i="13"/>
  <c r="Y93" i="13"/>
  <c r="Y94" i="13"/>
  <c r="Y95" i="13"/>
  <c r="Y96" i="13"/>
  <c r="Y97" i="13"/>
  <c r="Y98" i="13"/>
  <c r="Y99" i="13"/>
  <c r="Y100" i="13"/>
  <c r="Y101" i="13"/>
  <c r="Y102" i="13"/>
  <c r="Y103" i="13"/>
  <c r="Y104" i="13"/>
  <c r="Y105" i="13"/>
  <c r="Y106" i="13"/>
  <c r="Y107" i="13"/>
  <c r="Y108" i="13"/>
  <c r="Y109" i="13"/>
  <c r="Y110" i="13"/>
  <c r="Y111" i="13"/>
  <c r="Y112" i="13"/>
  <c r="Y113" i="13"/>
  <c r="Y114" i="13"/>
  <c r="Y115" i="13"/>
  <c r="Y116" i="13"/>
  <c r="Y117" i="13"/>
  <c r="Y118" i="13"/>
  <c r="Y119" i="13"/>
  <c r="Y120" i="13"/>
  <c r="Y121" i="13"/>
  <c r="Y122" i="13"/>
  <c r="Y123" i="13"/>
  <c r="Y124" i="13"/>
  <c r="Y125" i="13"/>
  <c r="Y126" i="13"/>
  <c r="Y127" i="13"/>
  <c r="Y128" i="13"/>
  <c r="Y129" i="13"/>
  <c r="Y130" i="13"/>
  <c r="Y131" i="13"/>
  <c r="Y132" i="13"/>
  <c r="Y133" i="13"/>
  <c r="Y134" i="13"/>
  <c r="Y135" i="13"/>
  <c r="Y136" i="13"/>
  <c r="Y137" i="13"/>
  <c r="Y138" i="13"/>
  <c r="Y139" i="13"/>
  <c r="Y140" i="13"/>
  <c r="Y141" i="13"/>
  <c r="Y142" i="13"/>
  <c r="Y143" i="13"/>
  <c r="Y144" i="13"/>
  <c r="Y145" i="13"/>
  <c r="Y146" i="13"/>
  <c r="Y147" i="13"/>
  <c r="Y148" i="13"/>
  <c r="Y149" i="13"/>
  <c r="Y150" i="13"/>
  <c r="Y151" i="13"/>
  <c r="Y152" i="13"/>
  <c r="Y153" i="13"/>
  <c r="Y154" i="13"/>
  <c r="Y155" i="13"/>
  <c r="Y156" i="13"/>
  <c r="Y157" i="13"/>
  <c r="Y158" i="13"/>
  <c r="Y159" i="13"/>
  <c r="Y160" i="13"/>
  <c r="Y161" i="13"/>
  <c r="Y162" i="13"/>
  <c r="Y163" i="13"/>
  <c r="Y164" i="13"/>
  <c r="Y165" i="13"/>
  <c r="Y166" i="13"/>
  <c r="Y167" i="13"/>
  <c r="Y168" i="13"/>
  <c r="Y169" i="13"/>
  <c r="Y170" i="13"/>
  <c r="Y171" i="13"/>
  <c r="Y172" i="13"/>
  <c r="Y173" i="13"/>
  <c r="Y174" i="13"/>
  <c r="Y175" i="13"/>
  <c r="Y176" i="13"/>
  <c r="Y177" i="13"/>
  <c r="Y178" i="13"/>
  <c r="Y179" i="13"/>
  <c r="Y180" i="13"/>
  <c r="Y181" i="13"/>
  <c r="Y182" i="13"/>
  <c r="Y183" i="13"/>
  <c r="Y184" i="13"/>
  <c r="Y185" i="13"/>
  <c r="Y186" i="13"/>
  <c r="Y187" i="13"/>
  <c r="Y188" i="13"/>
  <c r="Y189" i="13"/>
  <c r="Y190" i="13"/>
  <c r="Y191" i="13"/>
  <c r="Y192" i="13"/>
  <c r="Y193" i="13"/>
  <c r="Y194" i="13"/>
  <c r="Y195" i="13"/>
  <c r="Y196" i="13"/>
  <c r="Y197" i="13"/>
  <c r="Y198" i="13"/>
  <c r="Y199" i="13"/>
  <c r="Y200" i="13"/>
  <c r="Y201" i="13"/>
  <c r="Y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8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U113" i="13"/>
  <c r="U114" i="13"/>
  <c r="U115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U135" i="13"/>
  <c r="U136" i="13"/>
  <c r="U137" i="13"/>
  <c r="U138" i="13"/>
  <c r="U139" i="13"/>
  <c r="U140" i="13"/>
  <c r="U141" i="13"/>
  <c r="U142" i="13"/>
  <c r="U143" i="13"/>
  <c r="U144" i="13"/>
  <c r="U145" i="13"/>
  <c r="U146" i="13"/>
  <c r="U147" i="13"/>
  <c r="U148" i="13"/>
  <c r="U149" i="13"/>
  <c r="U150" i="13"/>
  <c r="U151" i="13"/>
  <c r="U152" i="13"/>
  <c r="U153" i="13"/>
  <c r="U154" i="13"/>
  <c r="U155" i="13"/>
  <c r="U156" i="13"/>
  <c r="U157" i="13"/>
  <c r="U158" i="13"/>
  <c r="U159" i="13"/>
  <c r="U160" i="13"/>
  <c r="U161" i="13"/>
  <c r="U162" i="13"/>
  <c r="U163" i="13"/>
  <c r="U164" i="13"/>
  <c r="U165" i="13"/>
  <c r="U166" i="13"/>
  <c r="U167" i="13"/>
  <c r="U168" i="13"/>
  <c r="U169" i="13"/>
  <c r="U170" i="13"/>
  <c r="U171" i="13"/>
  <c r="U172" i="13"/>
  <c r="U173" i="13"/>
  <c r="U174" i="13"/>
  <c r="U175" i="13"/>
  <c r="U176" i="13"/>
  <c r="U177" i="13"/>
  <c r="U178" i="13"/>
  <c r="U179" i="13"/>
  <c r="U180" i="13"/>
  <c r="U181" i="13"/>
  <c r="U182" i="13"/>
  <c r="U183" i="13"/>
  <c r="U184" i="13"/>
  <c r="U185" i="13"/>
  <c r="U186" i="13"/>
  <c r="U187" i="13"/>
  <c r="U188" i="13"/>
  <c r="U189" i="13"/>
  <c r="U190" i="13"/>
  <c r="U191" i="13"/>
  <c r="U192" i="13"/>
  <c r="U193" i="13"/>
  <c r="U194" i="13"/>
  <c r="U195" i="13"/>
  <c r="U196" i="13"/>
  <c r="U197" i="13"/>
  <c r="U198" i="13"/>
  <c r="U199" i="13"/>
  <c r="U200" i="13"/>
  <c r="U201" i="13"/>
  <c r="U4" i="13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Q115" i="13"/>
  <c r="Q116" i="13"/>
  <c r="Q117" i="13"/>
  <c r="Q118" i="13"/>
  <c r="Q119" i="13"/>
  <c r="Q120" i="13"/>
  <c r="Q121" i="13"/>
  <c r="Q122" i="13"/>
  <c r="Q123" i="13"/>
  <c r="Q124" i="13"/>
  <c r="Q125" i="13"/>
  <c r="Q126" i="13"/>
  <c r="Q127" i="13"/>
  <c r="Q128" i="13"/>
  <c r="Q129" i="13"/>
  <c r="Q130" i="13"/>
  <c r="Q131" i="13"/>
  <c r="Q132" i="13"/>
  <c r="Q133" i="13"/>
  <c r="Q134" i="13"/>
  <c r="Q135" i="13"/>
  <c r="Q136" i="13"/>
  <c r="Q137" i="13"/>
  <c r="Q138" i="13"/>
  <c r="Q139" i="13"/>
  <c r="Q140" i="13"/>
  <c r="Q141" i="13"/>
  <c r="Q142" i="13"/>
  <c r="Q143" i="13"/>
  <c r="Q144" i="13"/>
  <c r="Q145" i="13"/>
  <c r="Q146" i="13"/>
  <c r="Q147" i="13"/>
  <c r="Q148" i="13"/>
  <c r="Q149" i="13"/>
  <c r="Q150" i="13"/>
  <c r="Q151" i="13"/>
  <c r="Q152" i="13"/>
  <c r="Q153" i="13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Q170" i="13"/>
  <c r="Q171" i="13"/>
  <c r="Q172" i="13"/>
  <c r="Q173" i="13"/>
  <c r="Q174" i="13"/>
  <c r="Q175" i="13"/>
  <c r="Q176" i="13"/>
  <c r="Q177" i="13"/>
  <c r="Q178" i="13"/>
  <c r="Q179" i="13"/>
  <c r="Q180" i="13"/>
  <c r="Q181" i="13"/>
  <c r="Q182" i="13"/>
  <c r="Q183" i="13"/>
  <c r="Q184" i="13"/>
  <c r="Q185" i="13"/>
  <c r="Q186" i="13"/>
  <c r="Q187" i="13"/>
  <c r="Q188" i="13"/>
  <c r="Q189" i="13"/>
  <c r="Q190" i="13"/>
  <c r="Q191" i="13"/>
  <c r="Q192" i="13"/>
  <c r="Q193" i="13"/>
  <c r="Q194" i="13"/>
  <c r="Q195" i="13"/>
  <c r="Q196" i="13"/>
  <c r="Q197" i="13"/>
  <c r="Q198" i="13"/>
  <c r="Q199" i="13"/>
  <c r="Q200" i="13"/>
  <c r="Q201" i="13"/>
  <c r="Q4" i="13"/>
  <c r="BG4" i="12"/>
  <c r="BG5" i="12"/>
  <c r="BG6" i="12"/>
  <c r="BG7" i="12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99" i="12"/>
  <c r="BG100" i="12"/>
  <c r="BG101" i="12"/>
  <c r="BG102" i="12"/>
  <c r="BG103" i="12"/>
  <c r="BG104" i="12"/>
  <c r="BG105" i="12"/>
  <c r="BG106" i="12"/>
  <c r="BG107" i="12"/>
  <c r="BG108" i="12"/>
  <c r="BG109" i="12"/>
  <c r="BG110" i="12"/>
  <c r="BG111" i="12"/>
  <c r="BG112" i="12"/>
  <c r="BG113" i="12"/>
  <c r="BG114" i="12"/>
  <c r="BG115" i="12"/>
  <c r="BG116" i="12"/>
  <c r="BG117" i="12"/>
  <c r="BG118" i="12"/>
  <c r="BG119" i="12"/>
  <c r="BG120" i="12"/>
  <c r="BG121" i="12"/>
  <c r="BG122" i="12"/>
  <c r="BG123" i="12"/>
  <c r="BG124" i="12"/>
  <c r="BG125" i="12"/>
  <c r="BG126" i="12"/>
  <c r="BG127" i="12"/>
  <c r="BG128" i="12"/>
  <c r="BG129" i="12"/>
  <c r="BG130" i="12"/>
  <c r="BG131" i="12"/>
  <c r="BG132" i="12"/>
  <c r="BG133" i="12"/>
  <c r="BG134" i="12"/>
  <c r="BG135" i="12"/>
  <c r="BG136" i="12"/>
  <c r="BG137" i="12"/>
  <c r="BG138" i="12"/>
  <c r="BG139" i="12"/>
  <c r="BG140" i="12"/>
  <c r="BG141" i="12"/>
  <c r="BG142" i="12"/>
  <c r="BG143" i="12"/>
  <c r="BG144" i="12"/>
  <c r="BG145" i="12"/>
  <c r="BG146" i="12"/>
  <c r="BG147" i="12"/>
  <c r="BG148" i="12"/>
  <c r="BG149" i="12"/>
  <c r="BG150" i="12"/>
  <c r="BG151" i="12"/>
  <c r="BG152" i="12"/>
  <c r="BG153" i="12"/>
  <c r="BG154" i="12"/>
  <c r="BG155" i="12"/>
  <c r="BG156" i="12"/>
  <c r="BG157" i="12"/>
  <c r="BG158" i="12"/>
  <c r="BG159" i="12"/>
  <c r="BG160" i="12"/>
  <c r="BG161" i="12"/>
  <c r="BG162" i="12"/>
  <c r="BG163" i="12"/>
  <c r="BG164" i="12"/>
  <c r="BG165" i="12"/>
  <c r="BG166" i="12"/>
  <c r="BG167" i="12"/>
  <c r="BG168" i="12"/>
  <c r="BG169" i="12"/>
  <c r="BG170" i="12"/>
  <c r="BG171" i="12"/>
  <c r="BG172" i="12"/>
  <c r="BG173" i="12"/>
  <c r="BG174" i="12"/>
  <c r="BG175" i="12"/>
  <c r="BG176" i="12"/>
  <c r="BG177" i="12"/>
  <c r="BG178" i="12"/>
  <c r="BG179" i="12"/>
  <c r="BG180" i="12"/>
  <c r="BG181" i="12"/>
  <c r="BG182" i="12"/>
  <c r="BG183" i="12"/>
  <c r="BG184" i="12"/>
  <c r="BG185" i="12"/>
  <c r="BG186" i="12"/>
  <c r="BG187" i="12"/>
  <c r="BG188" i="12"/>
  <c r="BG189" i="12"/>
  <c r="BG190" i="12"/>
  <c r="BG191" i="12"/>
  <c r="BG192" i="12"/>
  <c r="BG193" i="12"/>
  <c r="BG194" i="12"/>
  <c r="BG195" i="12"/>
  <c r="BG196" i="12"/>
  <c r="BG197" i="12"/>
  <c r="BG198" i="12"/>
  <c r="BG199" i="12"/>
  <c r="BG200" i="12"/>
  <c r="BG201" i="12"/>
  <c r="BC4" i="12"/>
  <c r="BC5" i="12"/>
  <c r="BC6" i="12"/>
  <c r="BC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C98" i="12"/>
  <c r="BC99" i="12"/>
  <c r="BC100" i="12"/>
  <c r="BC101" i="12"/>
  <c r="BC102" i="12"/>
  <c r="BC103" i="12"/>
  <c r="BC104" i="12"/>
  <c r="BC105" i="12"/>
  <c r="BC106" i="12"/>
  <c r="BC107" i="12"/>
  <c r="BC108" i="12"/>
  <c r="BC109" i="12"/>
  <c r="BC110" i="12"/>
  <c r="BC111" i="12"/>
  <c r="BC112" i="12"/>
  <c r="BC113" i="12"/>
  <c r="BC114" i="12"/>
  <c r="BC115" i="12"/>
  <c r="BC116" i="12"/>
  <c r="BC117" i="12"/>
  <c r="BC118" i="12"/>
  <c r="BC119" i="12"/>
  <c r="BC120" i="12"/>
  <c r="BC121" i="12"/>
  <c r="BC122" i="12"/>
  <c r="BC123" i="12"/>
  <c r="BC124" i="12"/>
  <c r="BC125" i="12"/>
  <c r="BC126" i="12"/>
  <c r="BC127" i="12"/>
  <c r="BC128" i="12"/>
  <c r="BC129" i="12"/>
  <c r="BC130" i="12"/>
  <c r="BC131" i="12"/>
  <c r="BC132" i="12"/>
  <c r="BC133" i="12"/>
  <c r="BC134" i="12"/>
  <c r="BC135" i="12"/>
  <c r="BC136" i="12"/>
  <c r="BC137" i="12"/>
  <c r="BC138" i="12"/>
  <c r="BC139" i="12"/>
  <c r="BC140" i="12"/>
  <c r="BC141" i="12"/>
  <c r="BC142" i="12"/>
  <c r="BC143" i="12"/>
  <c r="BC144" i="12"/>
  <c r="BC145" i="12"/>
  <c r="BC146" i="12"/>
  <c r="BC147" i="12"/>
  <c r="BC148" i="12"/>
  <c r="BC149" i="12"/>
  <c r="BC150" i="12"/>
  <c r="BC151" i="12"/>
  <c r="BC152" i="12"/>
  <c r="BC153" i="12"/>
  <c r="BC154" i="12"/>
  <c r="BC155" i="12"/>
  <c r="BC156" i="12"/>
  <c r="BC157" i="12"/>
  <c r="BC158" i="12"/>
  <c r="BC159" i="12"/>
  <c r="BC160" i="12"/>
  <c r="BC161" i="12"/>
  <c r="BC162" i="12"/>
  <c r="BC163" i="12"/>
  <c r="BC164" i="12"/>
  <c r="BC165" i="12"/>
  <c r="BC166" i="12"/>
  <c r="BC167" i="12"/>
  <c r="BC168" i="12"/>
  <c r="BC169" i="12"/>
  <c r="BC170" i="12"/>
  <c r="BC171" i="12"/>
  <c r="BC172" i="12"/>
  <c r="BC173" i="12"/>
  <c r="BC174" i="12"/>
  <c r="BC175" i="12"/>
  <c r="BC176" i="12"/>
  <c r="BC177" i="12"/>
  <c r="BC178" i="12"/>
  <c r="BC179" i="12"/>
  <c r="BC180" i="12"/>
  <c r="BC181" i="12"/>
  <c r="BC182" i="12"/>
  <c r="BC183" i="12"/>
  <c r="BC184" i="12"/>
  <c r="BC185" i="12"/>
  <c r="BC186" i="12"/>
  <c r="BC187" i="12"/>
  <c r="BC188" i="12"/>
  <c r="BC189" i="12"/>
  <c r="BC190" i="12"/>
  <c r="BC191" i="12"/>
  <c r="BC192" i="12"/>
  <c r="BC193" i="12"/>
  <c r="BC194" i="12"/>
  <c r="BC195" i="12"/>
  <c r="BC196" i="12"/>
  <c r="BC197" i="12"/>
  <c r="BC198" i="12"/>
  <c r="BC199" i="12"/>
  <c r="BC200" i="12"/>
  <c r="BC201" i="12"/>
  <c r="AY4" i="12"/>
  <c r="AY5" i="12"/>
  <c r="AY6" i="12"/>
  <c r="AY7" i="12"/>
  <c r="AY8" i="12"/>
  <c r="AY9" i="12"/>
  <c r="AY10" i="12"/>
  <c r="AY11" i="12"/>
  <c r="AY12" i="12"/>
  <c r="AY13" i="12"/>
  <c r="AY14" i="12"/>
  <c r="AY15" i="12"/>
  <c r="AY16" i="12"/>
  <c r="AY17" i="12"/>
  <c r="AY18" i="12"/>
  <c r="AY19" i="12"/>
  <c r="AY20" i="12"/>
  <c r="AY21" i="12"/>
  <c r="AY22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36" i="12"/>
  <c r="AY37" i="12"/>
  <c r="AY38" i="12"/>
  <c r="AY39" i="12"/>
  <c r="AY40" i="12"/>
  <c r="AY41" i="12"/>
  <c r="AY42" i="12"/>
  <c r="AY43" i="12"/>
  <c r="AY44" i="12"/>
  <c r="AY45" i="12"/>
  <c r="AY46" i="12"/>
  <c r="AY47" i="12"/>
  <c r="AY48" i="12"/>
  <c r="AY49" i="12"/>
  <c r="AY50" i="12"/>
  <c r="AY51" i="12"/>
  <c r="AY52" i="12"/>
  <c r="AY53" i="12"/>
  <c r="AY54" i="12"/>
  <c r="AY55" i="12"/>
  <c r="AY56" i="12"/>
  <c r="AY57" i="12"/>
  <c r="AY58" i="12"/>
  <c r="AY59" i="12"/>
  <c r="AY60" i="12"/>
  <c r="AY61" i="12"/>
  <c r="AY62" i="12"/>
  <c r="AY63" i="12"/>
  <c r="AY64" i="12"/>
  <c r="AY65" i="12"/>
  <c r="AY66" i="12"/>
  <c r="AY67" i="12"/>
  <c r="AY68" i="12"/>
  <c r="AY69" i="12"/>
  <c r="AY70" i="12"/>
  <c r="AY71" i="12"/>
  <c r="AY72" i="12"/>
  <c r="AY73" i="12"/>
  <c r="AY74" i="12"/>
  <c r="AY75" i="12"/>
  <c r="AY76" i="12"/>
  <c r="AY77" i="12"/>
  <c r="AY78" i="12"/>
  <c r="AY79" i="12"/>
  <c r="AY80" i="12"/>
  <c r="AY81" i="12"/>
  <c r="AY82" i="12"/>
  <c r="AY83" i="12"/>
  <c r="AY84" i="12"/>
  <c r="AY85" i="12"/>
  <c r="AY86" i="12"/>
  <c r="AY87" i="12"/>
  <c r="AY88" i="12"/>
  <c r="AY89" i="12"/>
  <c r="AY90" i="12"/>
  <c r="AY91" i="12"/>
  <c r="AY92" i="12"/>
  <c r="AY93" i="12"/>
  <c r="AY94" i="12"/>
  <c r="AY95" i="12"/>
  <c r="AY96" i="12"/>
  <c r="AY97" i="12"/>
  <c r="AY98" i="12"/>
  <c r="AY99" i="12"/>
  <c r="AY100" i="12"/>
  <c r="AY101" i="12"/>
  <c r="AY102" i="12"/>
  <c r="AY103" i="12"/>
  <c r="AY104" i="12"/>
  <c r="AY105" i="12"/>
  <c r="AY106" i="12"/>
  <c r="AY107" i="12"/>
  <c r="AY108" i="12"/>
  <c r="AY109" i="12"/>
  <c r="AY110" i="12"/>
  <c r="AY111" i="12"/>
  <c r="AY112" i="12"/>
  <c r="AY113" i="12"/>
  <c r="AY114" i="12"/>
  <c r="AY115" i="12"/>
  <c r="AY116" i="12"/>
  <c r="AY117" i="12"/>
  <c r="AY118" i="12"/>
  <c r="AY119" i="12"/>
  <c r="AY120" i="12"/>
  <c r="AY121" i="12"/>
  <c r="AY122" i="12"/>
  <c r="AY123" i="12"/>
  <c r="AY124" i="12"/>
  <c r="AY125" i="12"/>
  <c r="AY126" i="12"/>
  <c r="AY127" i="12"/>
  <c r="AY128" i="12"/>
  <c r="AY129" i="12"/>
  <c r="AY130" i="12"/>
  <c r="AY131" i="12"/>
  <c r="AY132" i="12"/>
  <c r="AY133" i="12"/>
  <c r="AY134" i="12"/>
  <c r="AY135" i="12"/>
  <c r="AY136" i="12"/>
  <c r="AY137" i="12"/>
  <c r="AY138" i="12"/>
  <c r="AY139" i="12"/>
  <c r="AY140" i="12"/>
  <c r="AY141" i="12"/>
  <c r="AY142" i="12"/>
  <c r="AY143" i="12"/>
  <c r="AY144" i="12"/>
  <c r="AY145" i="12"/>
  <c r="AY146" i="12"/>
  <c r="AY147" i="12"/>
  <c r="AY148" i="12"/>
  <c r="AY149" i="12"/>
  <c r="AY150" i="12"/>
  <c r="AY151" i="12"/>
  <c r="AY152" i="12"/>
  <c r="AY153" i="12"/>
  <c r="AY154" i="12"/>
  <c r="AY155" i="12"/>
  <c r="AY156" i="12"/>
  <c r="AY157" i="12"/>
  <c r="AY158" i="12"/>
  <c r="AY159" i="12"/>
  <c r="AY160" i="12"/>
  <c r="AY161" i="12"/>
  <c r="AY162" i="12"/>
  <c r="AY163" i="12"/>
  <c r="AY164" i="12"/>
  <c r="AY165" i="12"/>
  <c r="AY166" i="12"/>
  <c r="AY167" i="12"/>
  <c r="AY168" i="12"/>
  <c r="AY169" i="12"/>
  <c r="AY170" i="12"/>
  <c r="AY171" i="12"/>
  <c r="AY172" i="12"/>
  <c r="AY173" i="12"/>
  <c r="AY174" i="12"/>
  <c r="AY175" i="12"/>
  <c r="AY176" i="12"/>
  <c r="AY177" i="12"/>
  <c r="AY178" i="12"/>
  <c r="AY179" i="12"/>
  <c r="AY180" i="12"/>
  <c r="AY181" i="12"/>
  <c r="AY182" i="12"/>
  <c r="AY183" i="12"/>
  <c r="AY184" i="12"/>
  <c r="AY185" i="12"/>
  <c r="AY186" i="12"/>
  <c r="AY187" i="12"/>
  <c r="AY188" i="12"/>
  <c r="AY189" i="12"/>
  <c r="AY190" i="12"/>
  <c r="AY191" i="12"/>
  <c r="AY192" i="12"/>
  <c r="AY193" i="12"/>
  <c r="AY194" i="12"/>
  <c r="AY195" i="12"/>
  <c r="AY196" i="12"/>
  <c r="AY197" i="12"/>
  <c r="AY198" i="12"/>
  <c r="AY199" i="12"/>
  <c r="AY200" i="12"/>
  <c r="AY201" i="12"/>
  <c r="AP4" i="12"/>
  <c r="AP5" i="12"/>
  <c r="AP6" i="12"/>
  <c r="AP7" i="12"/>
  <c r="AP8" i="12"/>
  <c r="AP9" i="12"/>
  <c r="AP10" i="12"/>
  <c r="AP11" i="12"/>
  <c r="AP12" i="12"/>
  <c r="AP13" i="12"/>
  <c r="AP14" i="12"/>
  <c r="AP15" i="12"/>
  <c r="AP16" i="12"/>
  <c r="AP17" i="12"/>
  <c r="AP18" i="12"/>
  <c r="AP19" i="12"/>
  <c r="AP20" i="12"/>
  <c r="AP21" i="12"/>
  <c r="AP22" i="12"/>
  <c r="AP23" i="12"/>
  <c r="AP24" i="12"/>
  <c r="AP25" i="12"/>
  <c r="AP26" i="12"/>
  <c r="AP27" i="12"/>
  <c r="AP28" i="12"/>
  <c r="AP29" i="12"/>
  <c r="AP30" i="12"/>
  <c r="AP31" i="12"/>
  <c r="AP32" i="12"/>
  <c r="AP33" i="12"/>
  <c r="AP34" i="12"/>
  <c r="AP35" i="12"/>
  <c r="AP36" i="12"/>
  <c r="AP37" i="12"/>
  <c r="AP38" i="12"/>
  <c r="AP39" i="12"/>
  <c r="AP40" i="12"/>
  <c r="AP41" i="12"/>
  <c r="AP42" i="12"/>
  <c r="AP43" i="12"/>
  <c r="AP44" i="12"/>
  <c r="AP45" i="12"/>
  <c r="AP46" i="12"/>
  <c r="AP47" i="12"/>
  <c r="AP48" i="12"/>
  <c r="AP49" i="12"/>
  <c r="AP50" i="12"/>
  <c r="AP51" i="12"/>
  <c r="AP52" i="12"/>
  <c r="AP53" i="12"/>
  <c r="AP54" i="12"/>
  <c r="AP55" i="12"/>
  <c r="AP56" i="12"/>
  <c r="AP57" i="12"/>
  <c r="AP58" i="12"/>
  <c r="AP59" i="12"/>
  <c r="AP60" i="12"/>
  <c r="AP61" i="12"/>
  <c r="AP62" i="12"/>
  <c r="AP63" i="12"/>
  <c r="AP64" i="12"/>
  <c r="AP65" i="12"/>
  <c r="AP66" i="12"/>
  <c r="AP67" i="12"/>
  <c r="AP68" i="12"/>
  <c r="AP69" i="12"/>
  <c r="AP70" i="12"/>
  <c r="AP71" i="12"/>
  <c r="AP72" i="12"/>
  <c r="AP73" i="12"/>
  <c r="AP74" i="12"/>
  <c r="AP75" i="12"/>
  <c r="AP76" i="12"/>
  <c r="AP77" i="12"/>
  <c r="AP78" i="12"/>
  <c r="AP79" i="12"/>
  <c r="AP80" i="12"/>
  <c r="AP81" i="12"/>
  <c r="AP82" i="12"/>
  <c r="AP83" i="12"/>
  <c r="AP84" i="12"/>
  <c r="AP85" i="12"/>
  <c r="AP86" i="12"/>
  <c r="AP87" i="12"/>
  <c r="AP88" i="12"/>
  <c r="AP89" i="12"/>
  <c r="AP90" i="12"/>
  <c r="AP91" i="12"/>
  <c r="AP92" i="12"/>
  <c r="AP93" i="12"/>
  <c r="AP94" i="12"/>
  <c r="AP95" i="12"/>
  <c r="AP96" i="12"/>
  <c r="AP97" i="12"/>
  <c r="AP98" i="12"/>
  <c r="AP99" i="12"/>
  <c r="AP100" i="12"/>
  <c r="AP101" i="12"/>
  <c r="AP102" i="12"/>
  <c r="AP103" i="12"/>
  <c r="AP104" i="12"/>
  <c r="AP105" i="12"/>
  <c r="AP106" i="12"/>
  <c r="AP107" i="12"/>
  <c r="AP108" i="12"/>
  <c r="AP109" i="12"/>
  <c r="AP110" i="12"/>
  <c r="AP111" i="12"/>
  <c r="AP112" i="12"/>
  <c r="AP113" i="12"/>
  <c r="AP114" i="12"/>
  <c r="AP115" i="12"/>
  <c r="AP116" i="12"/>
  <c r="AP117" i="12"/>
  <c r="AP118" i="12"/>
  <c r="AP119" i="12"/>
  <c r="AP120" i="12"/>
  <c r="AP121" i="12"/>
  <c r="AP122" i="12"/>
  <c r="AP123" i="12"/>
  <c r="AP124" i="12"/>
  <c r="AP125" i="12"/>
  <c r="AP126" i="12"/>
  <c r="AP127" i="12"/>
  <c r="AP128" i="12"/>
  <c r="AP129" i="12"/>
  <c r="AP130" i="12"/>
  <c r="AP131" i="12"/>
  <c r="AP132" i="12"/>
  <c r="AP133" i="12"/>
  <c r="AP134" i="12"/>
  <c r="AP135" i="12"/>
  <c r="AP136" i="12"/>
  <c r="AP137" i="12"/>
  <c r="AP138" i="12"/>
  <c r="AP139" i="12"/>
  <c r="AP140" i="12"/>
  <c r="AP141" i="12"/>
  <c r="AP142" i="12"/>
  <c r="AP143" i="12"/>
  <c r="AP144" i="12"/>
  <c r="AP145" i="12"/>
  <c r="AP146" i="12"/>
  <c r="AP147" i="12"/>
  <c r="AP148" i="12"/>
  <c r="AP149" i="12"/>
  <c r="AP150" i="12"/>
  <c r="AP151" i="12"/>
  <c r="AP152" i="12"/>
  <c r="AP153" i="12"/>
  <c r="AP154" i="12"/>
  <c r="AP155" i="12"/>
  <c r="AP156" i="12"/>
  <c r="AP157" i="12"/>
  <c r="AP158" i="12"/>
  <c r="AP159" i="12"/>
  <c r="AP160" i="12"/>
  <c r="AP161" i="12"/>
  <c r="AP162" i="12"/>
  <c r="AP163" i="12"/>
  <c r="AP164" i="12"/>
  <c r="AP165" i="12"/>
  <c r="AP166" i="12"/>
  <c r="AP167" i="12"/>
  <c r="AP168" i="12"/>
  <c r="AP169" i="12"/>
  <c r="AP170" i="12"/>
  <c r="AP171" i="12"/>
  <c r="AP172" i="12"/>
  <c r="AP173" i="12"/>
  <c r="AP174" i="12"/>
  <c r="AP175" i="12"/>
  <c r="AP176" i="12"/>
  <c r="AP177" i="12"/>
  <c r="AP178" i="12"/>
  <c r="AP179" i="12"/>
  <c r="AP180" i="12"/>
  <c r="AP181" i="12"/>
  <c r="AP182" i="12"/>
  <c r="AP183" i="12"/>
  <c r="AP184" i="12"/>
  <c r="AP185" i="12"/>
  <c r="AP186" i="12"/>
  <c r="AP187" i="12"/>
  <c r="AP188" i="12"/>
  <c r="AP189" i="12"/>
  <c r="AP190" i="12"/>
  <c r="AP191" i="12"/>
  <c r="AP192" i="12"/>
  <c r="AP193" i="12"/>
  <c r="AP194" i="12"/>
  <c r="AP195" i="12"/>
  <c r="AP196" i="12"/>
  <c r="AP197" i="12"/>
  <c r="AP198" i="12"/>
  <c r="AP199" i="12"/>
  <c r="AP200" i="12"/>
  <c r="AP201" i="12"/>
  <c r="AL4" i="12"/>
  <c r="AL5" i="12"/>
  <c r="AL6" i="12"/>
  <c r="AL7" i="12"/>
  <c r="AL8" i="12"/>
  <c r="AL9" i="12"/>
  <c r="AL1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33" i="12"/>
  <c r="AL34" i="12"/>
  <c r="AL35" i="12"/>
  <c r="AL36" i="12"/>
  <c r="AL37" i="12"/>
  <c r="AL38" i="12"/>
  <c r="AL39" i="12"/>
  <c r="AL40" i="12"/>
  <c r="AL41" i="12"/>
  <c r="AL42" i="12"/>
  <c r="AL43" i="12"/>
  <c r="AL44" i="12"/>
  <c r="AL45" i="12"/>
  <c r="AL46" i="12"/>
  <c r="AL47" i="12"/>
  <c r="AL48" i="12"/>
  <c r="AL49" i="12"/>
  <c r="AL50" i="12"/>
  <c r="AL51" i="12"/>
  <c r="AL52" i="12"/>
  <c r="AL53" i="12"/>
  <c r="AL54" i="12"/>
  <c r="AL55" i="12"/>
  <c r="AL56" i="12"/>
  <c r="AL57" i="12"/>
  <c r="AL58" i="12"/>
  <c r="AL59" i="12"/>
  <c r="AL60" i="12"/>
  <c r="AL61" i="12"/>
  <c r="AL62" i="12"/>
  <c r="AL63" i="12"/>
  <c r="AL64" i="12"/>
  <c r="AL65" i="12"/>
  <c r="AL66" i="12"/>
  <c r="AL67" i="12"/>
  <c r="AL68" i="12"/>
  <c r="AL69" i="12"/>
  <c r="AL70" i="12"/>
  <c r="AL71" i="12"/>
  <c r="AL72" i="12"/>
  <c r="AL73" i="12"/>
  <c r="AL74" i="12"/>
  <c r="AL75" i="12"/>
  <c r="AL76" i="12"/>
  <c r="AL77" i="12"/>
  <c r="AL78" i="12"/>
  <c r="AL79" i="12"/>
  <c r="AL80" i="12"/>
  <c r="AL81" i="12"/>
  <c r="AL82" i="12"/>
  <c r="AL83" i="12"/>
  <c r="AL84" i="12"/>
  <c r="AL85" i="12"/>
  <c r="AL86" i="12"/>
  <c r="AL87" i="12"/>
  <c r="AL88" i="12"/>
  <c r="AL89" i="12"/>
  <c r="AL90" i="12"/>
  <c r="AL91" i="12"/>
  <c r="AL92" i="12"/>
  <c r="AL93" i="12"/>
  <c r="AL94" i="12"/>
  <c r="AL95" i="12"/>
  <c r="AL96" i="12"/>
  <c r="AL97" i="12"/>
  <c r="AL98" i="12"/>
  <c r="AL99" i="12"/>
  <c r="AL100" i="12"/>
  <c r="AL101" i="12"/>
  <c r="AL102" i="12"/>
  <c r="AL103" i="12"/>
  <c r="AL104" i="12"/>
  <c r="AL105" i="12"/>
  <c r="AL106" i="12"/>
  <c r="AL107" i="12"/>
  <c r="AL108" i="12"/>
  <c r="AL109" i="12"/>
  <c r="AL110" i="12"/>
  <c r="AL111" i="12"/>
  <c r="AL112" i="12"/>
  <c r="AL113" i="12"/>
  <c r="AL114" i="12"/>
  <c r="AL115" i="12"/>
  <c r="AL116" i="12"/>
  <c r="AL117" i="12"/>
  <c r="AL118" i="12"/>
  <c r="AL119" i="12"/>
  <c r="AL120" i="12"/>
  <c r="AL121" i="12"/>
  <c r="AL122" i="12"/>
  <c r="AL123" i="12"/>
  <c r="AL124" i="12"/>
  <c r="AL125" i="12"/>
  <c r="AL126" i="12"/>
  <c r="AL127" i="12"/>
  <c r="AL128" i="12"/>
  <c r="AL129" i="12"/>
  <c r="AL130" i="12"/>
  <c r="AL131" i="12"/>
  <c r="AL132" i="12"/>
  <c r="AL133" i="12"/>
  <c r="AL134" i="12"/>
  <c r="AL135" i="12"/>
  <c r="AL136" i="12"/>
  <c r="AL137" i="12"/>
  <c r="AL138" i="12"/>
  <c r="AL139" i="12"/>
  <c r="AL140" i="12"/>
  <c r="AL141" i="12"/>
  <c r="AL142" i="12"/>
  <c r="AL143" i="12"/>
  <c r="AL144" i="12"/>
  <c r="AL145" i="12"/>
  <c r="AL146" i="12"/>
  <c r="AL147" i="12"/>
  <c r="AL148" i="12"/>
  <c r="AL149" i="12"/>
  <c r="AL150" i="12"/>
  <c r="AL151" i="12"/>
  <c r="AL152" i="12"/>
  <c r="AL153" i="12"/>
  <c r="AL154" i="12"/>
  <c r="AL155" i="12"/>
  <c r="AL156" i="12"/>
  <c r="AL157" i="12"/>
  <c r="AL158" i="12"/>
  <c r="AL159" i="12"/>
  <c r="AL160" i="12"/>
  <c r="AL161" i="12"/>
  <c r="AL162" i="12"/>
  <c r="AL163" i="12"/>
  <c r="AL164" i="12"/>
  <c r="AL165" i="12"/>
  <c r="AL166" i="12"/>
  <c r="AL167" i="12"/>
  <c r="AL168" i="12"/>
  <c r="AL169" i="12"/>
  <c r="AL170" i="12"/>
  <c r="AL171" i="12"/>
  <c r="AL172" i="12"/>
  <c r="AL173" i="12"/>
  <c r="AL174" i="12"/>
  <c r="AL175" i="12"/>
  <c r="AL176" i="12"/>
  <c r="AL177" i="12"/>
  <c r="AL178" i="12"/>
  <c r="AL179" i="12"/>
  <c r="AL180" i="12"/>
  <c r="AL181" i="12"/>
  <c r="AL182" i="12"/>
  <c r="AL183" i="12"/>
  <c r="AL184" i="12"/>
  <c r="AL185" i="12"/>
  <c r="AL186" i="12"/>
  <c r="AL187" i="12"/>
  <c r="AL188" i="12"/>
  <c r="AL189" i="12"/>
  <c r="AL190" i="12"/>
  <c r="AL191" i="12"/>
  <c r="AL192" i="12"/>
  <c r="AL193" i="12"/>
  <c r="AL194" i="12"/>
  <c r="AL195" i="12"/>
  <c r="AL196" i="12"/>
  <c r="AL197" i="12"/>
  <c r="AL198" i="12"/>
  <c r="AL199" i="12"/>
  <c r="AL200" i="12"/>
  <c r="AL201" i="12"/>
  <c r="AH4" i="12"/>
  <c r="AH5" i="12"/>
  <c r="AH6" i="12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48" i="12"/>
  <c r="AH49" i="12"/>
  <c r="AH50" i="12"/>
  <c r="AH51" i="12"/>
  <c r="AH52" i="12"/>
  <c r="AH53" i="12"/>
  <c r="AH54" i="12"/>
  <c r="AH55" i="12"/>
  <c r="AH56" i="12"/>
  <c r="AH57" i="12"/>
  <c r="AH58" i="12"/>
  <c r="AH59" i="12"/>
  <c r="AH60" i="12"/>
  <c r="AH61" i="12"/>
  <c r="AH62" i="12"/>
  <c r="AH63" i="12"/>
  <c r="AH64" i="12"/>
  <c r="AH65" i="12"/>
  <c r="AH66" i="12"/>
  <c r="AH67" i="12"/>
  <c r="AH68" i="12"/>
  <c r="AH69" i="12"/>
  <c r="AH70" i="12"/>
  <c r="AH71" i="12"/>
  <c r="AH72" i="12"/>
  <c r="AH73" i="12"/>
  <c r="AH74" i="12"/>
  <c r="AH75" i="12"/>
  <c r="AH76" i="12"/>
  <c r="AH77" i="12"/>
  <c r="AH78" i="12"/>
  <c r="AH79" i="12"/>
  <c r="AH80" i="12"/>
  <c r="AH81" i="12"/>
  <c r="AH82" i="12"/>
  <c r="AH83" i="12"/>
  <c r="AH84" i="12"/>
  <c r="AH85" i="12"/>
  <c r="AH86" i="12"/>
  <c r="AH87" i="12"/>
  <c r="AH88" i="12"/>
  <c r="AH89" i="12"/>
  <c r="AH90" i="12"/>
  <c r="AH91" i="12"/>
  <c r="AH92" i="12"/>
  <c r="AH93" i="12"/>
  <c r="AH94" i="12"/>
  <c r="AH95" i="12"/>
  <c r="AH96" i="12"/>
  <c r="AH97" i="12"/>
  <c r="AH98" i="12"/>
  <c r="AH99" i="12"/>
  <c r="AH100" i="12"/>
  <c r="AH101" i="12"/>
  <c r="AH102" i="12"/>
  <c r="AH103" i="12"/>
  <c r="AH104" i="12"/>
  <c r="AH105" i="12"/>
  <c r="AH106" i="12"/>
  <c r="AH107" i="12"/>
  <c r="AH108" i="12"/>
  <c r="AH109" i="12"/>
  <c r="AH110" i="12"/>
  <c r="AH111" i="12"/>
  <c r="AH112" i="12"/>
  <c r="AH113" i="12"/>
  <c r="AH114" i="12"/>
  <c r="AH115" i="12"/>
  <c r="AH116" i="12"/>
  <c r="AH117" i="12"/>
  <c r="AH118" i="12"/>
  <c r="AH119" i="12"/>
  <c r="AH120" i="12"/>
  <c r="AH121" i="12"/>
  <c r="AH122" i="12"/>
  <c r="AH123" i="12"/>
  <c r="AH124" i="12"/>
  <c r="AH125" i="12"/>
  <c r="AH126" i="12"/>
  <c r="AH127" i="12"/>
  <c r="AH128" i="12"/>
  <c r="AH129" i="12"/>
  <c r="AH130" i="12"/>
  <c r="AH131" i="12"/>
  <c r="AH132" i="12"/>
  <c r="AH133" i="12"/>
  <c r="AH134" i="12"/>
  <c r="AH135" i="12"/>
  <c r="AH136" i="12"/>
  <c r="AH137" i="12"/>
  <c r="AH138" i="12"/>
  <c r="AH139" i="12"/>
  <c r="AH140" i="12"/>
  <c r="AH141" i="12"/>
  <c r="AH142" i="12"/>
  <c r="AH143" i="12"/>
  <c r="AH144" i="12"/>
  <c r="AH145" i="12"/>
  <c r="AH146" i="12"/>
  <c r="AH147" i="12"/>
  <c r="AH148" i="12"/>
  <c r="AH149" i="12"/>
  <c r="AH150" i="12"/>
  <c r="AH151" i="12"/>
  <c r="AH152" i="12"/>
  <c r="AH153" i="12"/>
  <c r="AH154" i="12"/>
  <c r="AH155" i="12"/>
  <c r="AH156" i="12"/>
  <c r="AH157" i="12"/>
  <c r="AH158" i="12"/>
  <c r="AH159" i="12"/>
  <c r="AH160" i="12"/>
  <c r="AH161" i="12"/>
  <c r="AH162" i="12"/>
  <c r="AH163" i="12"/>
  <c r="AH164" i="12"/>
  <c r="AH165" i="12"/>
  <c r="AH166" i="12"/>
  <c r="AH167" i="12"/>
  <c r="AH168" i="12"/>
  <c r="AH169" i="12"/>
  <c r="AH170" i="12"/>
  <c r="AH171" i="12"/>
  <c r="AH172" i="12"/>
  <c r="AH173" i="12"/>
  <c r="AH174" i="12"/>
  <c r="AH175" i="12"/>
  <c r="AH176" i="12"/>
  <c r="AH177" i="12"/>
  <c r="AH178" i="12"/>
  <c r="AH179" i="12"/>
  <c r="AH180" i="12"/>
  <c r="AH181" i="12"/>
  <c r="AH182" i="12"/>
  <c r="AH183" i="12"/>
  <c r="AH184" i="12"/>
  <c r="AH185" i="12"/>
  <c r="AH186" i="12"/>
  <c r="AH187" i="12"/>
  <c r="AH188" i="12"/>
  <c r="AH189" i="12"/>
  <c r="AH190" i="12"/>
  <c r="AH191" i="12"/>
  <c r="AH192" i="12"/>
  <c r="AH193" i="12"/>
  <c r="AH194" i="12"/>
  <c r="AH195" i="12"/>
  <c r="AH196" i="12"/>
  <c r="AH197" i="12"/>
  <c r="AH198" i="12"/>
  <c r="AH199" i="12"/>
  <c r="AH200" i="12"/>
  <c r="AH201" i="12"/>
  <c r="Y4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3" i="12"/>
  <c r="Y134" i="12"/>
  <c r="Y135" i="12"/>
  <c r="Y136" i="12"/>
  <c r="Y137" i="12"/>
  <c r="Y138" i="12"/>
  <c r="Y139" i="12"/>
  <c r="Y140" i="12"/>
  <c r="Y141" i="12"/>
  <c r="Y142" i="12"/>
  <c r="Y143" i="12"/>
  <c r="Y144" i="12"/>
  <c r="Y145" i="12"/>
  <c r="Y146" i="12"/>
  <c r="Y147" i="12"/>
  <c r="Y148" i="12"/>
  <c r="Y149" i="12"/>
  <c r="Y150" i="12"/>
  <c r="Y151" i="12"/>
  <c r="Y152" i="12"/>
  <c r="Y153" i="12"/>
  <c r="Y154" i="12"/>
  <c r="Y155" i="12"/>
  <c r="Y156" i="12"/>
  <c r="Y157" i="12"/>
  <c r="Y158" i="12"/>
  <c r="Y159" i="12"/>
  <c r="Y160" i="12"/>
  <c r="Y161" i="12"/>
  <c r="Y162" i="12"/>
  <c r="Y163" i="12"/>
  <c r="Y164" i="12"/>
  <c r="Y165" i="12"/>
  <c r="Y166" i="12"/>
  <c r="Y167" i="12"/>
  <c r="Y168" i="12"/>
  <c r="Y169" i="12"/>
  <c r="Y170" i="12"/>
  <c r="Y171" i="12"/>
  <c r="Y172" i="12"/>
  <c r="Y173" i="12"/>
  <c r="Y174" i="12"/>
  <c r="Y175" i="12"/>
  <c r="Y176" i="12"/>
  <c r="Y177" i="12"/>
  <c r="Y178" i="12"/>
  <c r="Y179" i="12"/>
  <c r="Y180" i="12"/>
  <c r="Y181" i="12"/>
  <c r="Y182" i="12"/>
  <c r="Y183" i="12"/>
  <c r="Y184" i="12"/>
  <c r="Y185" i="12"/>
  <c r="Y186" i="12"/>
  <c r="Y187" i="12"/>
  <c r="Y188" i="12"/>
  <c r="Y189" i="12"/>
  <c r="Y190" i="12"/>
  <c r="Y191" i="12"/>
  <c r="Y192" i="12"/>
  <c r="Y193" i="12"/>
  <c r="Y194" i="12"/>
  <c r="Y195" i="12"/>
  <c r="Y196" i="12"/>
  <c r="Y197" i="12"/>
  <c r="Y198" i="12"/>
  <c r="Y199" i="12"/>
  <c r="Y200" i="12"/>
  <c r="Y201" i="12"/>
  <c r="U4" i="12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U115" i="12"/>
  <c r="U116" i="12"/>
  <c r="U117" i="12"/>
  <c r="U118" i="12"/>
  <c r="U119" i="12"/>
  <c r="U120" i="12"/>
  <c r="U121" i="12"/>
  <c r="U122" i="12"/>
  <c r="U123" i="12"/>
  <c r="U124" i="12"/>
  <c r="U125" i="12"/>
  <c r="U126" i="12"/>
  <c r="U127" i="12"/>
  <c r="U128" i="12"/>
  <c r="U129" i="12"/>
  <c r="U130" i="12"/>
  <c r="U131" i="12"/>
  <c r="U132" i="12"/>
  <c r="U133" i="12"/>
  <c r="U134" i="12"/>
  <c r="U135" i="12"/>
  <c r="U136" i="12"/>
  <c r="U137" i="12"/>
  <c r="U138" i="12"/>
  <c r="U139" i="12"/>
  <c r="U140" i="12"/>
  <c r="U141" i="12"/>
  <c r="U142" i="12"/>
  <c r="U143" i="12"/>
  <c r="U144" i="12"/>
  <c r="U145" i="12"/>
  <c r="U146" i="12"/>
  <c r="U147" i="12"/>
  <c r="U148" i="12"/>
  <c r="U149" i="12"/>
  <c r="U150" i="12"/>
  <c r="U151" i="12"/>
  <c r="U152" i="12"/>
  <c r="U153" i="12"/>
  <c r="U154" i="12"/>
  <c r="U155" i="12"/>
  <c r="U156" i="12"/>
  <c r="U157" i="12"/>
  <c r="U158" i="12"/>
  <c r="U159" i="12"/>
  <c r="U160" i="12"/>
  <c r="U161" i="12"/>
  <c r="U162" i="12"/>
  <c r="U163" i="12"/>
  <c r="U164" i="12"/>
  <c r="U165" i="12"/>
  <c r="U166" i="12"/>
  <c r="U167" i="12"/>
  <c r="U168" i="12"/>
  <c r="U169" i="12"/>
  <c r="U170" i="12"/>
  <c r="U171" i="12"/>
  <c r="U172" i="12"/>
  <c r="U173" i="12"/>
  <c r="U174" i="12"/>
  <c r="U175" i="12"/>
  <c r="U176" i="12"/>
  <c r="U177" i="12"/>
  <c r="U178" i="12"/>
  <c r="U179" i="12"/>
  <c r="U180" i="12"/>
  <c r="U181" i="12"/>
  <c r="U182" i="12"/>
  <c r="U183" i="12"/>
  <c r="U184" i="12"/>
  <c r="U185" i="12"/>
  <c r="U186" i="12"/>
  <c r="U187" i="12"/>
  <c r="U188" i="12"/>
  <c r="U189" i="12"/>
  <c r="U190" i="12"/>
  <c r="U191" i="12"/>
  <c r="U192" i="12"/>
  <c r="U193" i="12"/>
  <c r="U194" i="12"/>
  <c r="U195" i="12"/>
  <c r="U196" i="12"/>
  <c r="U197" i="12"/>
  <c r="U198" i="12"/>
  <c r="U199" i="12"/>
  <c r="U200" i="12"/>
  <c r="U201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4" i="12"/>
  <c r="V14" i="2" l="1"/>
  <c r="V13" i="2"/>
  <c r="V12" i="2"/>
  <c r="V11" i="2"/>
  <c r="V10" i="2"/>
  <c r="V9" i="2"/>
  <c r="V8" i="2"/>
  <c r="V7" i="2"/>
  <c r="V6" i="2"/>
  <c r="V5" i="2"/>
  <c r="V4" i="2"/>
  <c r="V3" i="2"/>
  <c r="U14" i="2"/>
  <c r="U13" i="2"/>
  <c r="U12" i="2"/>
  <c r="U11" i="2"/>
  <c r="U10" i="2"/>
  <c r="U9" i="2"/>
  <c r="U8" i="2"/>
  <c r="U7" i="2"/>
  <c r="U6" i="2"/>
  <c r="U5" i="2"/>
  <c r="U4" i="2"/>
  <c r="U3" i="2"/>
  <c r="L22" i="2"/>
  <c r="B21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J29" i="2"/>
  <c r="K29" i="2"/>
  <c r="L29" i="2"/>
  <c r="M29" i="2"/>
  <c r="B29" i="2"/>
  <c r="V15" i="2" l="1"/>
  <c r="U15" i="2"/>
  <c r="N32" i="2"/>
  <c r="N29" i="2"/>
  <c r="C53" i="2"/>
  <c r="C52" i="2"/>
  <c r="C51" i="2"/>
  <c r="C50" i="2"/>
  <c r="C49" i="2"/>
  <c r="C48" i="2"/>
  <c r="C47" i="2"/>
  <c r="C46" i="2"/>
  <c r="C45" i="2"/>
  <c r="C44" i="2"/>
  <c r="C43" i="2"/>
  <c r="C42" i="2"/>
  <c r="B46" i="2"/>
  <c r="B53" i="2"/>
  <c r="B52" i="2"/>
  <c r="B51" i="2"/>
  <c r="B50" i="2"/>
  <c r="B49" i="2"/>
  <c r="B48" i="2"/>
  <c r="B47" i="2"/>
  <c r="B45" i="2"/>
  <c r="B44" i="2"/>
  <c r="B42" i="2"/>
  <c r="B43" i="2"/>
  <c r="I13" i="2"/>
  <c r="I12" i="2"/>
  <c r="I11" i="2"/>
  <c r="I10" i="2"/>
  <c r="I9" i="2"/>
  <c r="I8" i="2"/>
  <c r="I7" i="2"/>
  <c r="I6" i="2"/>
  <c r="I5" i="2"/>
  <c r="I4" i="2"/>
  <c r="I3" i="2"/>
  <c r="I2" i="2"/>
  <c r="G2" i="2"/>
  <c r="M22" i="2"/>
  <c r="M19" i="2"/>
  <c r="L19" i="2"/>
  <c r="K22" i="2"/>
  <c r="K19" i="2"/>
  <c r="J22" i="2"/>
  <c r="J19" i="2"/>
  <c r="I22" i="2"/>
  <c r="I19" i="2"/>
  <c r="H22" i="2"/>
  <c r="H19" i="2"/>
  <c r="G22" i="2"/>
  <c r="G19" i="2"/>
  <c r="F22" i="2"/>
  <c r="F19" i="2"/>
  <c r="E22" i="2"/>
  <c r="E19" i="2"/>
  <c r="D22" i="2"/>
  <c r="D19" i="2"/>
  <c r="C22" i="2"/>
  <c r="C19" i="2"/>
  <c r="B22" i="2"/>
  <c r="B19" i="2"/>
  <c r="N22" i="2" l="1"/>
  <c r="C54" i="2"/>
  <c r="B54" i="2"/>
  <c r="I14" i="2"/>
  <c r="C22" i="8"/>
  <c r="M36" i="2"/>
  <c r="M35" i="2"/>
  <c r="M34" i="2"/>
  <c r="M33" i="2"/>
  <c r="M28" i="2"/>
  <c r="M27" i="2"/>
  <c r="M24" i="2"/>
  <c r="M21" i="2"/>
  <c r="M20" i="2"/>
  <c r="L36" i="2"/>
  <c r="L35" i="2"/>
  <c r="L34" i="2"/>
  <c r="L33" i="2"/>
  <c r="L28" i="2"/>
  <c r="L27" i="2"/>
  <c r="L24" i="2"/>
  <c r="L21" i="2"/>
  <c r="L20" i="2"/>
  <c r="K36" i="2"/>
  <c r="K35" i="2"/>
  <c r="K34" i="2"/>
  <c r="K33" i="2"/>
  <c r="K28" i="2"/>
  <c r="K27" i="2"/>
  <c r="K24" i="2"/>
  <c r="K21" i="2"/>
  <c r="K20" i="2"/>
  <c r="J36" i="2"/>
  <c r="J35" i="2"/>
  <c r="J34" i="2"/>
  <c r="J33" i="2"/>
  <c r="J28" i="2"/>
  <c r="J27" i="2"/>
  <c r="J24" i="2"/>
  <c r="J21" i="2"/>
  <c r="J20" i="2"/>
  <c r="I36" i="2"/>
  <c r="I35" i="2"/>
  <c r="I34" i="2"/>
  <c r="I33" i="2"/>
  <c r="I28" i="2"/>
  <c r="I27" i="2"/>
  <c r="I24" i="2"/>
  <c r="I21" i="2"/>
  <c r="I20" i="2"/>
  <c r="H36" i="2"/>
  <c r="H35" i="2"/>
  <c r="H34" i="2"/>
  <c r="H33" i="2"/>
  <c r="H28" i="2"/>
  <c r="H27" i="2"/>
  <c r="H24" i="2"/>
  <c r="H21" i="2"/>
  <c r="H20" i="2"/>
  <c r="G36" i="2"/>
  <c r="G35" i="2"/>
  <c r="G34" i="2"/>
  <c r="G33" i="2"/>
  <c r="G28" i="2"/>
  <c r="G27" i="2"/>
  <c r="G24" i="2"/>
  <c r="G21" i="2"/>
  <c r="G20" i="2"/>
  <c r="F36" i="2"/>
  <c r="F35" i="2"/>
  <c r="F34" i="2"/>
  <c r="F33" i="2"/>
  <c r="F28" i="2"/>
  <c r="F27" i="2"/>
  <c r="F24" i="2"/>
  <c r="F21" i="2"/>
  <c r="F20" i="2"/>
  <c r="E36" i="2"/>
  <c r="E35" i="2"/>
  <c r="E34" i="2"/>
  <c r="E33" i="2"/>
  <c r="E28" i="2"/>
  <c r="E27" i="2"/>
  <c r="E24" i="2"/>
  <c r="E21" i="2"/>
  <c r="E20" i="2"/>
  <c r="D36" i="2"/>
  <c r="D35" i="2"/>
  <c r="D34" i="2"/>
  <c r="D33" i="2"/>
  <c r="D28" i="2"/>
  <c r="D27" i="2"/>
  <c r="D24" i="2"/>
  <c r="D21" i="2"/>
  <c r="D20" i="2"/>
  <c r="C36" i="2"/>
  <c r="C35" i="2"/>
  <c r="C34" i="2"/>
  <c r="C33" i="2"/>
  <c r="C28" i="2"/>
  <c r="C27" i="2"/>
  <c r="C24" i="2"/>
  <c r="C21" i="2"/>
  <c r="C20" i="2"/>
  <c r="B36" i="2"/>
  <c r="B35" i="2"/>
  <c r="B34" i="2"/>
  <c r="B33" i="2"/>
  <c r="B28" i="2"/>
  <c r="B27" i="2"/>
  <c r="B24" i="2"/>
  <c r="B20" i="2"/>
  <c r="N21" i="2" l="1"/>
  <c r="N28" i="2"/>
  <c r="N31" i="2"/>
  <c r="N35" i="2"/>
  <c r="N20" i="2"/>
  <c r="N27" i="2"/>
  <c r="N33" i="2"/>
  <c r="N36" i="2"/>
  <c r="N25" i="2"/>
  <c r="N24" i="2"/>
  <c r="N30" i="2"/>
  <c r="N34" i="2"/>
  <c r="N19" i="2"/>
  <c r="G13" i="2"/>
  <c r="G12" i="2"/>
  <c r="G11" i="2"/>
  <c r="G10" i="2"/>
  <c r="G9" i="2"/>
  <c r="G8" i="2"/>
  <c r="G7" i="2"/>
  <c r="G6" i="2"/>
  <c r="G5" i="2"/>
  <c r="G4" i="2"/>
  <c r="G3" i="2"/>
  <c r="E13" i="2"/>
  <c r="E12" i="2"/>
  <c r="E11" i="2"/>
  <c r="E10" i="2"/>
  <c r="E9" i="2"/>
  <c r="E8" i="2"/>
  <c r="E7" i="2"/>
  <c r="E6" i="2"/>
  <c r="E5" i="2"/>
  <c r="E4" i="2"/>
  <c r="E3" i="2"/>
  <c r="M143" i="2"/>
  <c r="M141" i="2"/>
  <c r="M148" i="2" l="1"/>
  <c r="L148" i="2"/>
  <c r="K148" i="2"/>
  <c r="K147" i="2"/>
  <c r="M147" i="2"/>
  <c r="L147" i="2"/>
  <c r="K146" i="2"/>
  <c r="L146" i="2"/>
  <c r="M146" i="2"/>
  <c r="K145" i="2"/>
  <c r="L145" i="2"/>
  <c r="M145" i="2"/>
  <c r="M144" i="2"/>
  <c r="L144" i="2"/>
  <c r="K144" i="2"/>
  <c r="L142" i="2"/>
  <c r="K142" i="2"/>
  <c r="M142" i="2"/>
  <c r="M140" i="2"/>
  <c r="K140" i="2"/>
  <c r="L140" i="2"/>
  <c r="M139" i="2"/>
  <c r="L139" i="2"/>
  <c r="K139" i="2"/>
  <c r="K138" i="2"/>
  <c r="L138" i="2"/>
  <c r="M138" i="2"/>
  <c r="K141" i="2"/>
  <c r="L141" i="2"/>
  <c r="L143" i="2"/>
  <c r="K143" i="2"/>
  <c r="Y89" i="2"/>
  <c r="Y87" i="2"/>
  <c r="Y90" i="2"/>
  <c r="Y86" i="2"/>
  <c r="Y88" i="2"/>
  <c r="AC89" i="2"/>
  <c r="AC87" i="2"/>
  <c r="AC88" i="2"/>
  <c r="AC90" i="2"/>
  <c r="AC86" i="2"/>
  <c r="X90" i="2"/>
  <c r="X86" i="2"/>
  <c r="X89" i="2"/>
  <c r="X88" i="2"/>
  <c r="X87" i="2"/>
  <c r="AB90" i="2"/>
  <c r="AB86" i="2"/>
  <c r="AB89" i="2"/>
  <c r="AB88" i="2"/>
  <c r="AB87" i="2"/>
  <c r="AF90" i="2"/>
  <c r="AF86" i="2"/>
  <c r="AF89" i="2"/>
  <c r="AF88" i="2"/>
  <c r="AF87" i="2"/>
  <c r="W86" i="2"/>
  <c r="W89" i="2"/>
  <c r="W90" i="2"/>
  <c r="W88" i="2"/>
  <c r="W87" i="2"/>
  <c r="AA87" i="2"/>
  <c r="AA86" i="2"/>
  <c r="AA89" i="2"/>
  <c r="AA90" i="2"/>
  <c r="AA88" i="2"/>
  <c r="AE87" i="2"/>
  <c r="AE90" i="2"/>
  <c r="AE89" i="2"/>
  <c r="AE86" i="2"/>
  <c r="AE88" i="2"/>
  <c r="Z88" i="2"/>
  <c r="Z90" i="2"/>
  <c r="Z86" i="2"/>
  <c r="Z87" i="2"/>
  <c r="Z89" i="2"/>
  <c r="AD88" i="2"/>
  <c r="AD87" i="2"/>
  <c r="AD90" i="2"/>
  <c r="AD86" i="2"/>
  <c r="AD89" i="2"/>
  <c r="V89" i="2"/>
  <c r="V88" i="2"/>
  <c r="V87" i="2"/>
  <c r="V90" i="2"/>
  <c r="V86" i="2"/>
  <c r="AA69" i="2"/>
  <c r="Y69" i="2"/>
  <c r="W69" i="2"/>
  <c r="U69" i="2"/>
  <c r="S69" i="2"/>
  <c r="Q69" i="2"/>
  <c r="O69" i="2"/>
  <c r="M69" i="2"/>
  <c r="K69" i="2"/>
  <c r="I69" i="2"/>
  <c r="G69" i="2"/>
  <c r="AB69" i="2"/>
  <c r="Z69" i="2"/>
  <c r="X69" i="2"/>
  <c r="V69" i="2"/>
  <c r="T69" i="2"/>
  <c r="R69" i="2"/>
  <c r="P69" i="2"/>
  <c r="N69" i="2"/>
  <c r="L69" i="2"/>
  <c r="J69" i="2"/>
  <c r="H69" i="2"/>
  <c r="AB68" i="2"/>
  <c r="Z68" i="2"/>
  <c r="X68" i="2"/>
  <c r="V68" i="2"/>
  <c r="T68" i="2"/>
  <c r="R68" i="2"/>
  <c r="P68" i="2"/>
  <c r="N68" i="2"/>
  <c r="L68" i="2"/>
  <c r="J68" i="2"/>
  <c r="H68" i="2"/>
  <c r="AA68" i="2"/>
  <c r="Y68" i="2"/>
  <c r="W68" i="2"/>
  <c r="U68" i="2"/>
  <c r="S68" i="2"/>
  <c r="Q68" i="2"/>
  <c r="O68" i="2"/>
  <c r="M68" i="2"/>
  <c r="K68" i="2"/>
  <c r="I68" i="2"/>
  <c r="AB76" i="2"/>
  <c r="Z76" i="2"/>
  <c r="X76" i="2"/>
  <c r="V76" i="2"/>
  <c r="T76" i="2"/>
  <c r="R76" i="2"/>
  <c r="P76" i="2"/>
  <c r="N76" i="2"/>
  <c r="L76" i="2"/>
  <c r="J76" i="2"/>
  <c r="H76" i="2"/>
  <c r="AA76" i="2"/>
  <c r="Y76" i="2"/>
  <c r="W76" i="2"/>
  <c r="U76" i="2"/>
  <c r="S76" i="2"/>
  <c r="Q76" i="2"/>
  <c r="O76" i="2"/>
  <c r="M76" i="2"/>
  <c r="K76" i="2"/>
  <c r="I76" i="2"/>
  <c r="G76" i="2"/>
  <c r="AB71" i="2"/>
  <c r="Z71" i="2"/>
  <c r="X71" i="2"/>
  <c r="V71" i="2"/>
  <c r="T71" i="2"/>
  <c r="R71" i="2"/>
  <c r="P71" i="2"/>
  <c r="N71" i="2"/>
  <c r="L71" i="2"/>
  <c r="J71" i="2"/>
  <c r="H71" i="2"/>
  <c r="AA71" i="2"/>
  <c r="Y71" i="2"/>
  <c r="W71" i="2"/>
  <c r="U71" i="2"/>
  <c r="S71" i="2"/>
  <c r="Q71" i="2"/>
  <c r="O71" i="2"/>
  <c r="M71" i="2"/>
  <c r="K71" i="2"/>
  <c r="I71" i="2"/>
  <c r="G71" i="2"/>
  <c r="AB66" i="2"/>
  <c r="Z66" i="2"/>
  <c r="X66" i="2"/>
  <c r="V66" i="2"/>
  <c r="T66" i="2"/>
  <c r="R66" i="2"/>
  <c r="P66" i="2"/>
  <c r="N66" i="2"/>
  <c r="L66" i="2"/>
  <c r="J66" i="2"/>
  <c r="H66" i="2"/>
  <c r="G66" i="2"/>
  <c r="AA66" i="2"/>
  <c r="Y66" i="2"/>
  <c r="W66" i="2"/>
  <c r="U66" i="2"/>
  <c r="S66" i="2"/>
  <c r="Q66" i="2"/>
  <c r="O66" i="2"/>
  <c r="M66" i="2"/>
  <c r="K66" i="2"/>
  <c r="I66" i="2"/>
  <c r="AA70" i="2"/>
  <c r="Y70" i="2"/>
  <c r="W70" i="2"/>
  <c r="U70" i="2"/>
  <c r="S70" i="2"/>
  <c r="Q70" i="2"/>
  <c r="O70" i="2"/>
  <c r="M70" i="2"/>
  <c r="K70" i="2"/>
  <c r="I70" i="2"/>
  <c r="G70" i="2"/>
  <c r="AB70" i="2"/>
  <c r="Z70" i="2"/>
  <c r="X70" i="2"/>
  <c r="V70" i="2"/>
  <c r="T70" i="2"/>
  <c r="R70" i="2"/>
  <c r="P70" i="2"/>
  <c r="N70" i="2"/>
  <c r="L70" i="2"/>
  <c r="J70" i="2"/>
  <c r="H70" i="2"/>
  <c r="H75" i="2"/>
  <c r="Y75" i="2"/>
  <c r="V75" i="2"/>
  <c r="S75" i="2"/>
  <c r="Q75" i="2"/>
  <c r="N75" i="2"/>
  <c r="K75" i="2"/>
  <c r="AB75" i="2"/>
  <c r="AA75" i="2"/>
  <c r="X75" i="2"/>
  <c r="U75" i="2"/>
  <c r="P75" i="2"/>
  <c r="L75" i="2"/>
  <c r="J75" i="2"/>
  <c r="G75" i="2"/>
  <c r="Z75" i="2"/>
  <c r="W75" i="2"/>
  <c r="T75" i="2"/>
  <c r="R75" i="2"/>
  <c r="O75" i="2"/>
  <c r="M75" i="2"/>
  <c r="I75" i="2"/>
  <c r="Z74" i="2"/>
  <c r="V74" i="2"/>
  <c r="R74" i="2"/>
  <c r="N74" i="2"/>
  <c r="J74" i="2"/>
  <c r="Y74" i="2"/>
  <c r="U74" i="2"/>
  <c r="Q74" i="2"/>
  <c r="M74" i="2"/>
  <c r="I74" i="2"/>
  <c r="H74" i="2"/>
  <c r="AB74" i="2"/>
  <c r="X74" i="2"/>
  <c r="T74" i="2"/>
  <c r="P74" i="2"/>
  <c r="L74" i="2"/>
  <c r="AA74" i="2"/>
  <c r="W74" i="2"/>
  <c r="S74" i="2"/>
  <c r="O74" i="2"/>
  <c r="K74" i="2"/>
  <c r="G74" i="2"/>
  <c r="Y73" i="2"/>
  <c r="W73" i="2"/>
  <c r="AA73" i="2"/>
  <c r="U73" i="2"/>
  <c r="S73" i="2"/>
  <c r="Q73" i="2"/>
  <c r="O73" i="2"/>
  <c r="M73" i="2"/>
  <c r="K73" i="2"/>
  <c r="H73" i="2"/>
  <c r="G73" i="2"/>
  <c r="V73" i="2"/>
  <c r="T73" i="2"/>
  <c r="P73" i="2"/>
  <c r="L73" i="2"/>
  <c r="AB73" i="2"/>
  <c r="Z73" i="2"/>
  <c r="X73" i="2"/>
  <c r="R73" i="2"/>
  <c r="N73" i="2"/>
  <c r="J73" i="2"/>
  <c r="I73" i="2"/>
  <c r="AB72" i="2"/>
  <c r="X72" i="2"/>
  <c r="T72" i="2"/>
  <c r="P72" i="2"/>
  <c r="L72" i="2"/>
  <c r="G72" i="2"/>
  <c r="Y72" i="2"/>
  <c r="U72" i="2"/>
  <c r="Q72" i="2"/>
  <c r="M72" i="2"/>
  <c r="I72" i="2"/>
  <c r="Z72" i="2"/>
  <c r="V72" i="2"/>
  <c r="R72" i="2"/>
  <c r="N72" i="2"/>
  <c r="J72" i="2"/>
  <c r="AA72" i="2"/>
  <c r="W72" i="2"/>
  <c r="S72" i="2"/>
  <c r="O72" i="2"/>
  <c r="K72" i="2"/>
  <c r="H72" i="2"/>
  <c r="Y67" i="2"/>
  <c r="U67" i="2"/>
  <c r="Q67" i="2"/>
  <c r="M67" i="2"/>
  <c r="I67" i="2"/>
  <c r="G67" i="2"/>
  <c r="AB67" i="2"/>
  <c r="X67" i="2"/>
  <c r="T67" i="2"/>
  <c r="P67" i="2"/>
  <c r="AA67" i="2"/>
  <c r="W67" i="2"/>
  <c r="S67" i="2"/>
  <c r="O67" i="2"/>
  <c r="K67" i="2"/>
  <c r="H67" i="2"/>
  <c r="Z67" i="2"/>
  <c r="V67" i="2"/>
  <c r="R67" i="2"/>
  <c r="N67" i="2"/>
  <c r="J67" i="2"/>
  <c r="L67" i="2"/>
  <c r="G68" i="2"/>
  <c r="N37" i="2"/>
  <c r="B5" i="2"/>
  <c r="C6" i="3" s="1"/>
  <c r="G14" i="2"/>
  <c r="E2" i="2"/>
  <c r="E14" i="2" s="1"/>
  <c r="M7" i="2" s="1"/>
  <c r="B3" i="2"/>
  <c r="B4" i="2"/>
  <c r="C5" i="3" s="1"/>
  <c r="B6" i="2"/>
  <c r="C7" i="3" s="1"/>
  <c r="B7" i="2"/>
  <c r="C8" i="3" s="1"/>
  <c r="B8" i="2"/>
  <c r="C9" i="3" s="1"/>
  <c r="B9" i="2"/>
  <c r="C10" i="3" s="1"/>
  <c r="B10" i="2"/>
  <c r="C11" i="3" s="1"/>
  <c r="B11" i="2"/>
  <c r="C12" i="3" s="1"/>
  <c r="B12" i="2"/>
  <c r="C13" i="3" s="1"/>
  <c r="B13" i="2"/>
  <c r="C14" i="3" s="1"/>
  <c r="B2" i="2"/>
  <c r="O26" i="2" l="1"/>
  <c r="O23" i="2"/>
  <c r="O29" i="2"/>
  <c r="O32" i="2"/>
  <c r="O30" i="2"/>
  <c r="O22" i="2"/>
  <c r="O19" i="2"/>
  <c r="O24" i="2"/>
  <c r="O35" i="2"/>
  <c r="O25" i="2"/>
  <c r="O36" i="2"/>
  <c r="O33" i="2"/>
  <c r="O31" i="2"/>
  <c r="O21" i="2"/>
  <c r="O34" i="2"/>
  <c r="O28" i="2"/>
  <c r="O20" i="2"/>
  <c r="O27" i="2"/>
  <c r="C4" i="3"/>
  <c r="C3" i="3"/>
  <c r="B14" i="2"/>
  <c r="C15" i="3" l="1"/>
  <c r="M8" i="2"/>
  <c r="M9" i="2" s="1"/>
  <c r="M10" i="2" s="1"/>
  <c r="L137" i="2" l="1"/>
  <c r="L150" i="2" s="1"/>
  <c r="K137" i="2"/>
  <c r="K150" i="2" s="1"/>
  <c r="M137" i="2"/>
  <c r="M150" i="2" s="1"/>
  <c r="U87" i="2"/>
  <c r="G65" i="2"/>
  <c r="G77" i="2" s="1"/>
  <c r="M65" i="2"/>
  <c r="M77" i="2" s="1"/>
  <c r="R65" i="2"/>
  <c r="R77" i="2" s="1"/>
  <c r="W65" i="2"/>
  <c r="W77" i="2" s="1"/>
  <c r="AB65" i="2"/>
  <c r="AB77" i="2" s="1"/>
  <c r="U90" i="2"/>
  <c r="Y65" i="2"/>
  <c r="Y77" i="2" s="1"/>
  <c r="I65" i="2"/>
  <c r="I77" i="2" s="1"/>
  <c r="N65" i="2"/>
  <c r="N77" i="2" s="1"/>
  <c r="S65" i="2"/>
  <c r="S77" i="2" s="1"/>
  <c r="X65" i="2"/>
  <c r="X77" i="2" s="1"/>
  <c r="H65" i="2"/>
  <c r="H77" i="2" s="1"/>
  <c r="U86" i="2"/>
  <c r="AH86" i="2" s="1"/>
  <c r="U65" i="2"/>
  <c r="U77" i="2" s="1"/>
  <c r="Z65" i="2"/>
  <c r="Z77" i="2" s="1"/>
  <c r="J65" i="2"/>
  <c r="J77" i="2" s="1"/>
  <c r="O65" i="2"/>
  <c r="O77" i="2" s="1"/>
  <c r="T65" i="2"/>
  <c r="T77" i="2" s="1"/>
  <c r="L65" i="2"/>
  <c r="L77" i="2" s="1"/>
  <c r="U88" i="2"/>
  <c r="AH88" i="2" s="1"/>
  <c r="U89" i="2"/>
  <c r="Q65" i="2"/>
  <c r="Q77" i="2" s="1"/>
  <c r="V65" i="2"/>
  <c r="V77" i="2" s="1"/>
  <c r="AA65" i="2"/>
  <c r="AA77" i="2" s="1"/>
  <c r="K65" i="2"/>
  <c r="K77" i="2" s="1"/>
  <c r="P65" i="2"/>
  <c r="P77" i="2" s="1"/>
  <c r="AC79" i="2" l="1"/>
  <c r="J79" i="2" s="1"/>
  <c r="AC77" i="2"/>
  <c r="AH87" i="2"/>
  <c r="AH90" i="2"/>
  <c r="AH89" i="2"/>
  <c r="V79" i="2" l="1"/>
  <c r="G79" i="2"/>
  <c r="T79" i="2"/>
  <c r="Z79" i="2"/>
  <c r="P79" i="2"/>
  <c r="L79" i="2"/>
  <c r="Y79" i="2"/>
  <c r="U79" i="2"/>
  <c r="I79" i="2"/>
  <c r="AB79" i="2"/>
  <c r="M79" i="2"/>
  <c r="R79" i="2"/>
  <c r="AA79" i="2"/>
  <c r="N79" i="2"/>
  <c r="W79" i="2"/>
  <c r="S79" i="2"/>
  <c r="O79" i="2"/>
  <c r="H79" i="2"/>
  <c r="Q79" i="2"/>
  <c r="X79" i="2"/>
  <c r="K79" i="2"/>
</calcChain>
</file>

<file path=xl/sharedStrings.xml><?xml version="1.0" encoding="utf-8"?>
<sst xmlns="http://schemas.openxmlformats.org/spreadsheetml/2006/main" count="2778" uniqueCount="321">
  <si>
    <t>Patient Sex</t>
  </si>
  <si>
    <t>Reason for Visit</t>
  </si>
  <si>
    <t>Patient Prescribed Antibiotic</t>
  </si>
  <si>
    <t>Drug Class</t>
  </si>
  <si>
    <t>Date of Service</t>
  </si>
  <si>
    <t>Patient Medical Record Number</t>
  </si>
  <si>
    <t>Patient Species</t>
  </si>
  <si>
    <t>Total Number of Antibiotics Prescribed</t>
  </si>
  <si>
    <t>Drug Name</t>
  </si>
  <si>
    <t>Duration 
(in days)</t>
  </si>
  <si>
    <t>mm/dd/yyyy</t>
  </si>
  <si>
    <t>Free Text</t>
  </si>
  <si>
    <t>Canine</t>
  </si>
  <si>
    <t>Feline</t>
  </si>
  <si>
    <t>Male Intact</t>
  </si>
  <si>
    <t>Male Neutered</t>
  </si>
  <si>
    <t>Female Intact</t>
  </si>
  <si>
    <t>Female Spayed</t>
  </si>
  <si>
    <t>Preventive Care</t>
  </si>
  <si>
    <t>Re-check</t>
  </si>
  <si>
    <t>Sick</t>
  </si>
  <si>
    <t>Other</t>
  </si>
  <si>
    <t>Yes</t>
  </si>
  <si>
    <t>No</t>
  </si>
  <si>
    <t>Numerical value</t>
  </si>
  <si>
    <t>Amikacin</t>
  </si>
  <si>
    <t>Amoxicillin</t>
  </si>
  <si>
    <t>Ampicillin</t>
  </si>
  <si>
    <t>Azithromycin</t>
  </si>
  <si>
    <t>Cefadroxil</t>
  </si>
  <si>
    <t>Cefazolin</t>
  </si>
  <si>
    <t>Cefepime</t>
  </si>
  <si>
    <t>Cefotaxime</t>
  </si>
  <si>
    <t>Ceftazidime</t>
  </si>
  <si>
    <t>Ceftriaxone</t>
  </si>
  <si>
    <t>Cephalexin</t>
  </si>
  <si>
    <t>Chloramphenicol</t>
  </si>
  <si>
    <t>Clarithromycin</t>
  </si>
  <si>
    <t>Clindamycin</t>
  </si>
  <si>
    <t>Doxycycline</t>
  </si>
  <si>
    <t>Erythromycin</t>
  </si>
  <si>
    <t>Gentamicin</t>
  </si>
  <si>
    <t>Imipenem/Cilastatin</t>
  </si>
  <si>
    <t>Metronidazole</t>
  </si>
  <si>
    <t>Minocycline</t>
  </si>
  <si>
    <t>Nitrofurantoin</t>
  </si>
  <si>
    <t>Penicillin G</t>
  </si>
  <si>
    <t>Polymyxin B</t>
  </si>
  <si>
    <t>Rifampin</t>
  </si>
  <si>
    <t>Sulfamethoxazole/Trimethoprim</t>
  </si>
  <si>
    <t>Tetracycline</t>
  </si>
  <si>
    <t>Vancomycin</t>
  </si>
  <si>
    <t>Aminoglycosides</t>
  </si>
  <si>
    <t>Penicillins</t>
  </si>
  <si>
    <t>Macrolides</t>
  </si>
  <si>
    <t>Cephalosporins</t>
  </si>
  <si>
    <t>Phenicols</t>
  </si>
  <si>
    <t>Fluoroquinolones</t>
  </si>
  <si>
    <t>Lincosamides</t>
  </si>
  <si>
    <t>Polymyxins</t>
  </si>
  <si>
    <t>Glycopeptides</t>
  </si>
  <si>
    <t>Tetracyclines</t>
  </si>
  <si>
    <t>Nitroimidazoles</t>
  </si>
  <si>
    <t>Nitrofurans</t>
  </si>
  <si>
    <t>Unknown</t>
  </si>
  <si>
    <t>Frequency</t>
  </si>
  <si>
    <t>Numerical Value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</si>
  <si>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</si>
  <si>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</si>
  <si>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</si>
  <si>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</si>
  <si>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</si>
  <si>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</si>
  <si>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</si>
  <si>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</si>
  <si>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</si>
  <si>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</si>
  <si>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</si>
  <si>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</si>
  <si>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</si>
  <si>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Patients </t>
  </si>
  <si>
    <t>Patients Seen per Month</t>
  </si>
  <si>
    <t>Disease/Infection Type</t>
  </si>
  <si>
    <t>Disease Description</t>
  </si>
  <si>
    <t>Dose (in mg)</t>
  </si>
  <si>
    <t>Route</t>
  </si>
  <si>
    <t>Dermatologic Disease</t>
  </si>
  <si>
    <t>Acute</t>
  </si>
  <si>
    <t>SID</t>
  </si>
  <si>
    <t>PO</t>
  </si>
  <si>
    <t>Dental Disease</t>
  </si>
  <si>
    <t>Chronic</t>
  </si>
  <si>
    <t>BID</t>
  </si>
  <si>
    <t>SQ</t>
  </si>
  <si>
    <t>Recurrent</t>
  </si>
  <si>
    <t>TID</t>
  </si>
  <si>
    <t>IV</t>
  </si>
  <si>
    <t>Reproductive Disease</t>
  </si>
  <si>
    <t>Topical</t>
  </si>
  <si>
    <t>Peri-operative</t>
  </si>
  <si>
    <t>None</t>
  </si>
  <si>
    <t>Vector-borne Disease</t>
  </si>
  <si>
    <t>Gastrointestinal Disease</t>
  </si>
  <si>
    <t>PATIENT VISIT INFORMATION</t>
  </si>
  <si>
    <t>Disease 1 Antibiotic 1</t>
  </si>
  <si>
    <t>Disease 1  Antibiotic 2</t>
  </si>
  <si>
    <t>Disease 1  Antibiotic 3</t>
  </si>
  <si>
    <t>Disease 2 Antibiotic 1</t>
  </si>
  <si>
    <t>Disease 3  Antibiotic 3</t>
  </si>
  <si>
    <t>Disease 3 Antibiotic 1</t>
  </si>
  <si>
    <t>Disease 3  Antibiotic 2</t>
  </si>
  <si>
    <t>Patient Age</t>
  </si>
  <si>
    <t>Notes/Comments</t>
  </si>
  <si>
    <t>If Other Diseasee/Infection Type Explain</t>
  </si>
  <si>
    <t>Number of Antibiotics Prescribed for this Condition</t>
  </si>
  <si>
    <t>Diagnostics Offered for Infectious Condition</t>
  </si>
  <si>
    <t>Diagnostic Performed for Infectious Condition</t>
  </si>
  <si>
    <t>0-4 months</t>
  </si>
  <si>
    <t xml:space="preserve">Free Text </t>
  </si>
  <si>
    <t>B-lactam/B-lactamase inhibitor combination</t>
  </si>
  <si>
    <t>QID</t>
  </si>
  <si>
    <t>IM</t>
  </si>
  <si>
    <t>Once</t>
  </si>
  <si>
    <t>&gt;10 years</t>
  </si>
  <si>
    <t>Bacitracin</t>
  </si>
  <si>
    <t>Polypeptides</t>
  </si>
  <si>
    <t>N/A</t>
  </si>
  <si>
    <t>Ceftiofur sodium</t>
  </si>
  <si>
    <t>Ceftiofur crystalline free acid (long acting formulation)</t>
  </si>
  <si>
    <t>Chlortetracycline</t>
  </si>
  <si>
    <t>Enrofloxacin</t>
  </si>
  <si>
    <t>Lincomycin</t>
  </si>
  <si>
    <t>Neomycin</t>
  </si>
  <si>
    <t>Ofloxacin</t>
  </si>
  <si>
    <t>Oxytetracycline</t>
  </si>
  <si>
    <t>Oxytetracycline/Polymyxin B</t>
  </si>
  <si>
    <t>Tetracyclines/Polymyxins</t>
  </si>
  <si>
    <t>Penicillins/beta-lactamase inhibitor</t>
  </si>
  <si>
    <t>Pradofloxacin</t>
  </si>
  <si>
    <t>Silver Sulfadiazine (SSD)</t>
  </si>
  <si>
    <t>Sulfonamides</t>
  </si>
  <si>
    <t>Sulfadiazine/Trimethoprim</t>
  </si>
  <si>
    <t>Sulfonamides/Folate pathway inhibitors</t>
  </si>
  <si>
    <t>Sulfadimethoxine</t>
  </si>
  <si>
    <t>Sulfadimethoxine/Ormetoprim</t>
  </si>
  <si>
    <t>Sulfasalazine</t>
  </si>
  <si>
    <t>Tobramycin Sulfate</t>
  </si>
  <si>
    <t>Tulathromycin</t>
  </si>
  <si>
    <t>Tylosin</t>
  </si>
  <si>
    <t>Surgery/Procedure</t>
  </si>
  <si>
    <t>If Other Reason for Visit Explain</t>
  </si>
  <si>
    <t>Disease Informatiom</t>
  </si>
  <si>
    <t>Antibiotic Information</t>
  </si>
  <si>
    <t>Disease 1</t>
  </si>
  <si>
    <t>Disease 2</t>
  </si>
  <si>
    <t>Disease 2  Antibiotic 3</t>
  </si>
  <si>
    <t>Disease 3</t>
  </si>
  <si>
    <t>Drug Name2</t>
  </si>
  <si>
    <t>Drug Class3</t>
  </si>
  <si>
    <t>Frequency5</t>
  </si>
  <si>
    <t>Route6</t>
  </si>
  <si>
    <t>Drug Class2</t>
  </si>
  <si>
    <t>Frequency3</t>
  </si>
  <si>
    <t>Frequency2</t>
  </si>
  <si>
    <t>Route2</t>
  </si>
  <si>
    <t>Drug Name3</t>
  </si>
  <si>
    <t>Route3</t>
  </si>
  <si>
    <t>Disease/Infection Type2</t>
  </si>
  <si>
    <t>Number of Antibiotics Prescribed for this Condition2</t>
  </si>
  <si>
    <t>Drug Name4</t>
  </si>
  <si>
    <t>Drug Class4</t>
  </si>
  <si>
    <t>Frequency4</t>
  </si>
  <si>
    <t>Route4</t>
  </si>
  <si>
    <t>Drug Name5</t>
  </si>
  <si>
    <t>Drug Class5</t>
  </si>
  <si>
    <t>Route5</t>
  </si>
  <si>
    <t>Drug Name6</t>
  </si>
  <si>
    <t>Drug Class6</t>
  </si>
  <si>
    <t>Frequency6</t>
  </si>
  <si>
    <t>Disease/Infection Type3</t>
  </si>
  <si>
    <t>Number of Antibiotics Prescribed for this Condition3</t>
  </si>
  <si>
    <t>Drug Name7</t>
  </si>
  <si>
    <t>Drug Class7</t>
  </si>
  <si>
    <t>Frequency7</t>
  </si>
  <si>
    <t>Route7</t>
  </si>
  <si>
    <t>Drug Name8</t>
  </si>
  <si>
    <t>Drug Class8</t>
  </si>
  <si>
    <t>Frequency8</t>
  </si>
  <si>
    <t>Route8</t>
  </si>
  <si>
    <t>Drug Name9</t>
  </si>
  <si>
    <t>Drug Class9</t>
  </si>
  <si>
    <t>Frequency9</t>
  </si>
  <si>
    <t>Route9</t>
  </si>
  <si>
    <t xml:space="preserve">Number of Antibiotics Prescribed for this Condition </t>
  </si>
  <si>
    <t>Diagnostics Offered for Infectious Condition (Y/N)</t>
  </si>
  <si>
    <t>Diagnostic Performed for Infectious Condition (Y/N)</t>
  </si>
  <si>
    <t>Total Number of Antibiotics Prescribed for Patient</t>
  </si>
  <si>
    <t>If Other Disease/Infection Type Explain</t>
  </si>
  <si>
    <t>Disease 2 Antibiotic 2</t>
  </si>
  <si>
    <t>Attending Clinician</t>
  </si>
  <si>
    <t>Patient Prescribed Antibiotic (Y/N/WW)</t>
  </si>
  <si>
    <t>If Other Disease/Infection Type Explain2</t>
  </si>
  <si>
    <t>Diagnostics Offered for Infectious Condition (Y/N)2</t>
  </si>
  <si>
    <t>Diagnostic Performed for Infectious Condition (Y/N)2</t>
  </si>
  <si>
    <t>Diagnostics Offered for Infectious Condition (Y/N)3</t>
  </si>
  <si>
    <t>Diagnostic Performed for Infectious Condition (Y/N)3</t>
  </si>
  <si>
    <t>If Other Disease/Infection Type Explain3</t>
  </si>
  <si>
    <t>Patient Visit Information</t>
  </si>
  <si>
    <t>*Free text whole number up to 9*</t>
  </si>
  <si>
    <t>Location Filled</t>
  </si>
  <si>
    <t>In Clinic</t>
  </si>
  <si>
    <t xml:space="preserve"> </t>
  </si>
  <si>
    <t>Total</t>
  </si>
  <si>
    <t>Total Patients Seen</t>
  </si>
  <si>
    <t xml:space="preserve">December </t>
  </si>
  <si>
    <t xml:space="preserve">Total </t>
  </si>
  <si>
    <t>Total Patients Prescribed Antibiotics</t>
  </si>
  <si>
    <t>Total Patients Not Prescribed Antibiotics</t>
  </si>
  <si>
    <t>&gt;4-12 months</t>
  </si>
  <si>
    <t>&gt;1-3 years</t>
  </si>
  <si>
    <t>&gt;3-7 years</t>
  </si>
  <si>
    <t>&gt;7-10 years</t>
  </si>
  <si>
    <t>Leptospirosis</t>
  </si>
  <si>
    <t>Neurological Disease</t>
  </si>
  <si>
    <t>Ocular Disease</t>
  </si>
  <si>
    <t>Florfenicol</t>
  </si>
  <si>
    <t>Otic Florfenicol (Claro, Osurnia, etc.)</t>
  </si>
  <si>
    <t>Otic Gentamicin (Mometamax, Otomax, etc.)</t>
  </si>
  <si>
    <t>Otic Enrofloxacin (Baytril Otic, etc.)</t>
  </si>
  <si>
    <t>Otic Orbifloxacin (Posatex, etc.)</t>
  </si>
  <si>
    <t>Otic Neomycin (Animax, etc.)</t>
  </si>
  <si>
    <t xml:space="preserve">Antibiotics prescribed by Disease </t>
  </si>
  <si>
    <t>TOTAL</t>
  </si>
  <si>
    <t>Condition</t>
  </si>
  <si>
    <t xml:space="preserve">Percent </t>
  </si>
  <si>
    <t>Diagnostics Offered</t>
  </si>
  <si>
    <t>Otic Polymyxin B (Surolan, etc.)</t>
  </si>
  <si>
    <t>Ciprofloxacin (oral)</t>
  </si>
  <si>
    <t>Otic</t>
  </si>
  <si>
    <t>Ampicillin/Sulbactam (Unasyn)</t>
  </si>
  <si>
    <t>Amoxicillin/Clavulanic Acid (Clavamox, Augmentin)</t>
  </si>
  <si>
    <t>Cefovecin (Convenia)</t>
  </si>
  <si>
    <t xml:space="preserve">Cefpodoxime Proxetil </t>
  </si>
  <si>
    <t>Marbofloxacin (Zeniquin)</t>
  </si>
  <si>
    <t>Orbifloxacin (Orbax)</t>
  </si>
  <si>
    <t>Hepatic Disease</t>
  </si>
  <si>
    <t>External Pharmacy</t>
  </si>
  <si>
    <t>Watchful Waiting</t>
  </si>
  <si>
    <t>EOD</t>
  </si>
  <si>
    <t>Mupirocin (Bactroban)</t>
  </si>
  <si>
    <t>carboxylic acid </t>
  </si>
  <si>
    <t xml:space="preserve">Ophthalmic Antibiotic </t>
  </si>
  <si>
    <t>Ophthalmic</t>
  </si>
  <si>
    <t>Fosfomycin (Monurol)</t>
  </si>
  <si>
    <t>Fosfomycins</t>
  </si>
  <si>
    <t>Meropenem</t>
  </si>
  <si>
    <t>Carbapenems/dehydropeptidase inhibitors</t>
  </si>
  <si>
    <t>Carbapenems</t>
  </si>
  <si>
    <t>Tigecycline</t>
  </si>
  <si>
    <t>Glycylcyclines</t>
  </si>
  <si>
    <t>Piperacillin/Tazobactam (Zosyn)</t>
  </si>
  <si>
    <t>Linezolid</t>
  </si>
  <si>
    <t>Linezolid (Zyvox)</t>
  </si>
  <si>
    <t>Oxazolidinones</t>
  </si>
  <si>
    <t>Teicoplanin</t>
  </si>
  <si>
    <t>Colistin</t>
  </si>
  <si>
    <t>Total Patients Watchful Waiting</t>
  </si>
  <si>
    <t>Diagnostics Performed</t>
  </si>
  <si>
    <t>For patients prescribed antibiotics</t>
  </si>
  <si>
    <t>Drug Name Reference</t>
  </si>
  <si>
    <t>Percent</t>
  </si>
  <si>
    <t>Polymixin B</t>
  </si>
  <si>
    <t>Avoid Drugs</t>
  </si>
  <si>
    <t>Drugs</t>
  </si>
  <si>
    <t>Total Prescriptions</t>
  </si>
  <si>
    <t>Upper Urinary Tract Disease</t>
  </si>
  <si>
    <t>Lower Urinary Tract Disease</t>
  </si>
  <si>
    <t>Upper Respiratory Tract Disease</t>
  </si>
  <si>
    <t>Lower Respiratory Tract Disease</t>
  </si>
  <si>
    <t>Watchful Waiting By Disease</t>
  </si>
  <si>
    <t>Upper Respiratory</t>
  </si>
  <si>
    <t>First Generation</t>
  </si>
  <si>
    <t>Second Generation</t>
  </si>
  <si>
    <t xml:space="preserve">Third Generation </t>
  </si>
  <si>
    <t xml:space="preserve">Penicillin </t>
  </si>
  <si>
    <t>Fourth Generation</t>
  </si>
  <si>
    <t>Drug Use by Generation</t>
  </si>
  <si>
    <t>1st Generation</t>
  </si>
  <si>
    <t>2nd Generation</t>
  </si>
  <si>
    <t>3rd Generation</t>
  </si>
  <si>
    <t>Percentage of Patients Prescribed Antibiotics</t>
  </si>
  <si>
    <t>Otic Disease</t>
  </si>
  <si>
    <t>Euthanasia</t>
  </si>
  <si>
    <t>Percentage Dogs and Cats</t>
  </si>
  <si>
    <t>Smith</t>
  </si>
  <si>
    <t>Total Patients</t>
  </si>
  <si>
    <t>Dental</t>
  </si>
  <si>
    <t>Dermatologic</t>
  </si>
  <si>
    <t xml:space="preserve">Gastrointestinal </t>
  </si>
  <si>
    <t>Hepatic</t>
  </si>
  <si>
    <t xml:space="preserve">Neurological </t>
  </si>
  <si>
    <t>Ocular</t>
  </si>
  <si>
    <t>Reproductive</t>
  </si>
  <si>
    <t xml:space="preserve">Upper Respiratory Tract </t>
  </si>
  <si>
    <t xml:space="preserve">Lower Respiratory Tract </t>
  </si>
  <si>
    <t xml:space="preserve">Upper Urinary Tract </t>
  </si>
  <si>
    <t xml:space="preserve">Lower Urinary Tract </t>
  </si>
  <si>
    <t xml:space="preserve">Vector-borne </t>
  </si>
  <si>
    <t>Otic Florfenicol (e.g. Claro, Osurnia)</t>
  </si>
  <si>
    <t>Otic Gentamicin (e.g. Mometamax, Otomax)</t>
  </si>
  <si>
    <t>Otic Enrofloxacin (e.g. Baytril Otic)</t>
  </si>
  <si>
    <t>Otic Orbifloxacin (e.g. Posatex)</t>
  </si>
  <si>
    <t>Otic Polymyxin B (e.g. Surolan)</t>
  </si>
  <si>
    <t>Otic Neomycin (e.g. Animax)</t>
  </si>
  <si>
    <t>Doe</t>
  </si>
  <si>
    <t xml:space="preserve">Reason for Visit </t>
  </si>
  <si>
    <t>Total:</t>
  </si>
  <si>
    <t>Jones</t>
  </si>
  <si>
    <t>Nail Trim</t>
  </si>
  <si>
    <t>Neoplasia</t>
  </si>
  <si>
    <t>Grooming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</si>
</sst>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0" tint="-0.14999847407452621"/>
      <name val="Calibri"/>
      <family val="2"/>
    </font>
    <font>
      <sz val="11"/>
      <color theme="0" tint="-0.14999847407452621"/>
      <name val="Calibri"/>
      <family val="2"/>
    </font>
    <font>
      <b/>
      <sz val="11"/>
      <color theme="0" tint="-0.14999847407452621"/>
      <name val="Calibri"/>
      <family val="2"/>
    </font>
    <font>
      <b/>
      <sz val="16"/>
      <color theme="2" tint="-0.749992370372631"/>
      <name val="Calibri"/>
      <family val="2"/>
      <scheme val="minor"/>
    </font>
    <font>
      <sz val="14"/>
      <color rgb="FF222222"/>
      <name val="Calibri"/>
      <family val="2"/>
      <scheme val="minor"/>
    </font>
    <font>
      <sz val="12"/>
      <color theme="1"/>
      <name val="Calibri (Body)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921429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theme="9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5" borderId="0" xfId="0" applyFont="1" applyFill="1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8" xfId="0" applyFont="1" applyBorder="1"/>
    <xf numFmtId="0" fontId="0" fillId="0" borderId="0" xfId="0" applyAlignment="1">
      <alignment wrapText="1"/>
    </xf>
    <xf numFmtId="0" fontId="0" fillId="0" borderId="9" xfId="0" applyFont="1" applyFill="1" applyBorder="1"/>
    <xf numFmtId="0" fontId="17" fillId="0" borderId="0" xfId="0" applyFont="1"/>
    <xf numFmtId="0" fontId="0" fillId="0" borderId="0" xfId="0" applyFont="1"/>
    <xf numFmtId="0" fontId="18" fillId="0" borderId="0" xfId="0" applyFont="1"/>
    <xf numFmtId="2" fontId="1" fillId="0" borderId="0" xfId="0" applyNumberFormat="1" applyFont="1"/>
    <xf numFmtId="0" fontId="19" fillId="0" borderId="0" xfId="0" applyFont="1"/>
    <xf numFmtId="0" fontId="19" fillId="0" borderId="0" xfId="0" applyFont="1" applyAlignment="1">
      <alignment wrapText="1"/>
    </xf>
    <xf numFmtId="0" fontId="0" fillId="0" borderId="6" xfId="0" applyBorder="1" applyProtection="1"/>
    <xf numFmtId="0" fontId="0" fillId="0" borderId="0" xfId="0" applyProtection="1"/>
    <xf numFmtId="0" fontId="6" fillId="15" borderId="8" xfId="0" applyFont="1" applyFill="1" applyBorder="1"/>
    <xf numFmtId="0" fontId="7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2" fontId="0" fillId="0" borderId="0" xfId="1" applyNumberFormat="1" applyFont="1" applyProtection="1"/>
    <xf numFmtId="2" fontId="0" fillId="0" borderId="0" xfId="0" applyNumberFormat="1" applyProtection="1"/>
    <xf numFmtId="0" fontId="1" fillId="0" borderId="0" xfId="0" applyFont="1" applyProtection="1"/>
    <xf numFmtId="0" fontId="0" fillId="0" borderId="0" xfId="0" quotePrefix="1" applyProtection="1"/>
    <xf numFmtId="0" fontId="0" fillId="0" borderId="0" xfId="0" applyFont="1" applyProtection="1"/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6" fillId="15" borderId="8" xfId="0" applyFont="1" applyFill="1" applyBorder="1" applyProtection="1"/>
    <xf numFmtId="0" fontId="6" fillId="0" borderId="8" xfId="0" applyFont="1" applyBorder="1" applyProtection="1"/>
    <xf numFmtId="0" fontId="1" fillId="11" borderId="0" xfId="0" applyFont="1" applyFill="1" applyProtection="1">
      <protection locked="0"/>
    </xf>
    <xf numFmtId="0" fontId="10" fillId="12" borderId="0" xfId="0" applyFont="1" applyFill="1" applyProtection="1">
      <protection locked="0"/>
    </xf>
    <xf numFmtId="0" fontId="1" fillId="13" borderId="0" xfId="0" applyFont="1" applyFill="1" applyProtection="1">
      <protection locked="0"/>
    </xf>
    <xf numFmtId="0" fontId="2" fillId="14" borderId="0" xfId="0" applyFont="1" applyFill="1" applyProtection="1">
      <protection locked="0"/>
    </xf>
    <xf numFmtId="0" fontId="3" fillId="14" borderId="0" xfId="0" applyFont="1" applyFill="1" applyProtection="1"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14" fontId="6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hidden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1" fillId="9" borderId="0" xfId="0" applyFont="1" applyFill="1" applyAlignment="1" applyProtection="1">
      <alignment horizontal="center"/>
      <protection locked="0"/>
    </xf>
    <xf numFmtId="0" fontId="9" fillId="10" borderId="0" xfId="0" applyFont="1" applyFill="1" applyAlignment="1" applyProtection="1">
      <alignment horizontal="center"/>
      <protection locked="0"/>
    </xf>
    <xf numFmtId="0" fontId="10" fillId="10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left"/>
      <protection locked="0"/>
    </xf>
    <xf numFmtId="0" fontId="8" fillId="6" borderId="0" xfId="0" applyFont="1" applyFill="1" applyAlignment="1" applyProtection="1">
      <alignment horizontal="left"/>
      <protection locked="0"/>
    </xf>
    <xf numFmtId="0" fontId="8" fillId="7" borderId="0" xfId="0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2" fillId="6" borderId="0" xfId="0" applyFont="1" applyFill="1" applyAlignment="1" applyProtection="1">
      <alignment horizontal="left"/>
      <protection locked="0"/>
    </xf>
    <xf numFmtId="0" fontId="2" fillId="7" borderId="0" xfId="0" applyFont="1" applyFill="1" applyAlignment="1" applyProtection="1">
      <alignment horizontal="left"/>
      <protection locked="0"/>
    </xf>
    <xf numFmtId="0" fontId="10" fillId="12" borderId="0" xfId="0" applyFont="1" applyFill="1" applyAlignment="1" applyProtection="1">
      <alignment horizontal="left"/>
      <protection locked="0"/>
    </xf>
    <xf numFmtId="0" fontId="12" fillId="1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5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1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/>
      </font>
      <numFmt numFmtId="0" formatCode="General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</font>
    </dxf>
    <dxf>
      <border diagonalUp="0" diagonalDown="0" outline="0">
        <left style="thin">
          <color auto="1"/>
        </left>
        <right/>
        <top style="thin">
          <color auto="1"/>
        </top>
        <bottom/>
      </border>
      <protection locked="1" hidden="0"/>
    </dxf>
    <dxf>
      <protection locked="0" hidden="0"/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ill>
        <patternFill patternType="solid">
          <fgColor indexed="64"/>
          <bgColor rgb="FF92142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921429"/>
      <color rgb="FF7B1D1A"/>
      <color rgb="FFD87C79"/>
      <color rgb="FFFBDE7A"/>
      <color rgb="FF8C7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Antibiotic Prescriptions </a:t>
            </a:r>
            <a:r>
              <a:rPr lang="en-US" sz="1800" b="1" baseline="0"/>
              <a:t>by Month 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Antibiotic Prescribed</c:v>
          </c:tx>
          <c:spPr>
            <a:solidFill>
              <a:srgbClr val="921429"/>
            </a:solidFill>
            <a:ln>
              <a:noFill/>
            </a:ln>
            <a:effectLst/>
          </c:spPr>
          <c:invertIfNegative val="0"/>
          <c:val>
            <c:numRef>
              <c:f>Calculations!$E$2:$E$14</c:f>
              <c:numCache>
                <c:formatCode>General</c:formatCode>
                <c:ptCount val="13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E-0A4E-94C3-E7C3C5C358CF}"/>
            </c:ext>
          </c:extLst>
        </c:ser>
        <c:ser>
          <c:idx val="0"/>
          <c:order val="1"/>
          <c:tx>
            <c:v>No Antibiotic Prescribed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Calculations!$A$2:$A$14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 </c:v>
                </c:pt>
                <c:pt idx="12">
                  <c:v>Total </c:v>
                </c:pt>
              </c:strCache>
            </c:strRef>
          </c:cat>
          <c:val>
            <c:numRef>
              <c:f>Calculations!$G$2:$G$14</c:f>
              <c:numCache>
                <c:formatCode>General</c:formatCode>
                <c:ptCount val="13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E-0A4E-94C3-E7C3C5C358CF}"/>
            </c:ext>
          </c:extLst>
        </c:ser>
        <c:ser>
          <c:idx val="2"/>
          <c:order val="2"/>
          <c:tx>
            <c:v>Watchful Waiting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Calculations!$I$2:$I$14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A-1748-B8A4-A579F48E9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33347504"/>
        <c:axId val="1133349136"/>
      </c:barChart>
      <c:catAx>
        <c:axId val="11333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349136"/>
        <c:crosses val="autoZero"/>
        <c:auto val="1"/>
        <c:lblAlgn val="ctr"/>
        <c:lblOffset val="100"/>
        <c:noMultiLvlLbl val="0"/>
      </c:catAx>
      <c:valAx>
        <c:axId val="113334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3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Percentage of Total Patient</a:t>
            </a:r>
            <a:r>
              <a:rPr lang="en-US" sz="2400" b="1" baseline="0"/>
              <a:t>s by Sex</a:t>
            </a:r>
            <a:endParaRPr lang="en-US" sz="2400" b="1"/>
          </a:p>
        </c:rich>
      </c:tx>
      <c:layout>
        <c:manualLayout>
          <c:xMode val="edge"/>
          <c:yMode val="edge"/>
          <c:x val="0.25965565379246158"/>
          <c:y val="8.4831056483865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583110532505"/>
          <c:y val="0.25411334657462692"/>
          <c:w val="0.38126277122245045"/>
          <c:h val="0.579703167824847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E2-304A-BF00-6966327843CC}"/>
              </c:ext>
            </c:extLst>
          </c:dPt>
          <c:dPt>
            <c:idx val="1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E2-304A-BF00-6966327843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E2-304A-BF00-6966327843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E2-304A-BF00-696632784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Calculations!$N$161:$N$164</c:f>
              <c:strCache>
                <c:ptCount val="4"/>
                <c:pt idx="0">
                  <c:v>Female Intact</c:v>
                </c:pt>
                <c:pt idx="1">
                  <c:v>Female Spayed</c:v>
                </c:pt>
                <c:pt idx="2">
                  <c:v>Male Intact</c:v>
                </c:pt>
                <c:pt idx="3">
                  <c:v>Male Neutered</c:v>
                </c:pt>
              </c:strCache>
            </c:strRef>
          </c:cat>
          <c:val>
            <c:numRef>
              <c:f>Calculations!$O$161:$O$164</c:f>
              <c:numCache>
                <c:formatCode>General</c:formatCode>
                <c:ptCount val="4"/>
                <c:pt idx="0">
                  <c:v>13</c:v>
                </c:pt>
                <c:pt idx="1">
                  <c:v>50</c:v>
                </c:pt>
                <c:pt idx="2">
                  <c:v>11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E-5941-ADA5-9F394CA7C7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7717555046156131E-2"/>
          <c:y val="0.91752619969579763"/>
          <c:w val="0.89999996209616784"/>
          <c:h val="7.5951699088276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Percentage of</a:t>
            </a:r>
            <a:r>
              <a:rPr lang="en-US" sz="2400" b="1" baseline="0"/>
              <a:t> Total Patients by Age</a:t>
            </a:r>
            <a:endParaRPr lang="en-US" sz="2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74265018223608"/>
          <c:y val="0.14233381643164927"/>
          <c:w val="0.48766045507629396"/>
          <c:h val="0.64895370265688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F4-4141-963D-03F7F037A5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F4-4141-963D-03F7F037A5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A7-9246-933D-0FF5726772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A7-9246-933D-0FF572677204}"/>
              </c:ext>
            </c:extLst>
          </c:dPt>
          <c:dPt>
            <c:idx val="4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A7-9246-933D-0FF5726772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7F4-4141-963D-03F7F037A5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Calculations!$N$171:$N$176</c:f>
              <c:strCache>
                <c:ptCount val="6"/>
                <c:pt idx="0">
                  <c:v>0-4 months</c:v>
                </c:pt>
                <c:pt idx="1">
                  <c:v>&gt;4-12 months</c:v>
                </c:pt>
                <c:pt idx="2">
                  <c:v>&gt;1-3 years</c:v>
                </c:pt>
                <c:pt idx="3">
                  <c:v>&gt;3-7 years</c:v>
                </c:pt>
                <c:pt idx="4">
                  <c:v>&gt;7-10 years</c:v>
                </c:pt>
                <c:pt idx="5">
                  <c:v>&gt;10 years</c:v>
                </c:pt>
              </c:strCache>
            </c:strRef>
          </c:cat>
          <c:val>
            <c:numRef>
              <c:f>Calculations!$O$171:$O$176</c:f>
              <c:numCache>
                <c:formatCode>General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28</c:v>
                </c:pt>
                <c:pt idx="3">
                  <c:v>19</c:v>
                </c:pt>
                <c:pt idx="4">
                  <c:v>22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4-4141-963D-03F7F037A5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299072781741466"/>
          <c:y val="0.85206903281696178"/>
          <c:w val="0.5812341749851887"/>
          <c:h val="0.13250800151353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Percentage</a:t>
            </a:r>
            <a:r>
              <a:rPr lang="en-US" sz="1800" b="1" baseline="0"/>
              <a:t> of Total Patients by Reason for Visit 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12397832315127"/>
          <c:y val="0.12997951189441742"/>
          <c:w val="0.47286399825926556"/>
          <c:h val="0.655787592479380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BF-144A-9DF5-94EDCE2A43FF}"/>
              </c:ext>
            </c:extLst>
          </c:dPt>
          <c:dPt>
            <c:idx val="1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BF-144A-9DF5-94EDCE2A43F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BF-144A-9DF5-94EDCE2A43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54-9749-AA5F-8BFD0487B95E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CBF-144A-9DF5-94EDCE2A43FF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CBF-144A-9DF5-94EDCE2A43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Calculations!$N$180:$N$185</c:f>
              <c:strCache>
                <c:ptCount val="6"/>
                <c:pt idx="0">
                  <c:v>Preventive Care</c:v>
                </c:pt>
                <c:pt idx="1">
                  <c:v>Re-check</c:v>
                </c:pt>
                <c:pt idx="2">
                  <c:v>Sick</c:v>
                </c:pt>
                <c:pt idx="3">
                  <c:v>Surgery/Procedure</c:v>
                </c:pt>
                <c:pt idx="4">
                  <c:v>Euthanasia</c:v>
                </c:pt>
                <c:pt idx="5">
                  <c:v>Other</c:v>
                </c:pt>
              </c:strCache>
            </c:strRef>
          </c:cat>
          <c:val>
            <c:numRef>
              <c:f>Calculations!$O$180:$O$185</c:f>
              <c:numCache>
                <c:formatCode>General</c:formatCode>
                <c:ptCount val="6"/>
                <c:pt idx="0">
                  <c:v>38</c:v>
                </c:pt>
                <c:pt idx="1">
                  <c:v>12</c:v>
                </c:pt>
                <c:pt idx="2">
                  <c:v>48</c:v>
                </c:pt>
                <c:pt idx="3">
                  <c:v>13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F-144A-9DF5-94EDCE2A43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425053834369509"/>
          <c:y val="0.83071401166894299"/>
          <c:w val="0.75442497934348041"/>
          <c:h val="0.15966415682559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Percentage of Patients Receiving Antibiotics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rgbClr val="7B1D1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2E6-1144-85C4-61464AAF7F6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2E6-1144-85C4-61464AAF7F6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2E6-1144-85C4-61464AAF7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Calculations!$M$9:$M$10</c:f>
              <c:numCache>
                <c:formatCode>0.00</c:formatCode>
                <c:ptCount val="2"/>
                <c:pt idx="0">
                  <c:v>0.40833333333333333</c:v>
                </c:pt>
                <c:pt idx="1">
                  <c:v>0.59166666666666667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2E6-1144-85C4-61464AAF7F6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Percentage of </a:t>
            </a:r>
            <a:r>
              <a:rPr lang="en-US" sz="1800" b="1" baseline="0"/>
              <a:t>Total Antibiotics Prescribed by Condition/Disease </a:t>
            </a:r>
            <a:endParaRPr lang="en-US" sz="1800" b="1"/>
          </a:p>
        </c:rich>
      </c:tx>
      <c:layout>
        <c:manualLayout>
          <c:xMode val="edge"/>
          <c:yMode val="edge"/>
          <c:x val="0.19271160669409426"/>
          <c:y val="2.5243901750490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Calculations!$O$36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Calculations!$P$19:$P$36</c:f>
              <c:strCache>
                <c:ptCount val="18"/>
                <c:pt idx="0">
                  <c:v>Dental</c:v>
                </c:pt>
                <c:pt idx="1">
                  <c:v>Dermatologic</c:v>
                </c:pt>
                <c:pt idx="2">
                  <c:v>Gastrointestinal </c:v>
                </c:pt>
                <c:pt idx="3">
                  <c:v>Hepatic</c:v>
                </c:pt>
                <c:pt idx="4">
                  <c:v>Leptospirosis</c:v>
                </c:pt>
                <c:pt idx="5">
                  <c:v>Neurological </c:v>
                </c:pt>
                <c:pt idx="6">
                  <c:v>Ocular</c:v>
                </c:pt>
                <c:pt idx="7">
                  <c:v>Otic</c:v>
                </c:pt>
                <c:pt idx="8">
                  <c:v>Peri-operative</c:v>
                </c:pt>
                <c:pt idx="9">
                  <c:v>Reproductive</c:v>
                </c:pt>
                <c:pt idx="10">
                  <c:v>Upper Respiratory Tract </c:v>
                </c:pt>
                <c:pt idx="11">
                  <c:v>Lower Respiratory Tract </c:v>
                </c:pt>
                <c:pt idx="12">
                  <c:v>Upper Urinary Tract </c:v>
                </c:pt>
                <c:pt idx="13">
                  <c:v>Lower Urinary Tract </c:v>
                </c:pt>
                <c:pt idx="14">
                  <c:v>Vector-borne </c:v>
                </c:pt>
                <c:pt idx="15">
                  <c:v>Other</c:v>
                </c:pt>
                <c:pt idx="16">
                  <c:v>None</c:v>
                </c:pt>
                <c:pt idx="17">
                  <c:v>Unknown</c:v>
                </c:pt>
              </c:strCache>
            </c:strRef>
          </c:cat>
          <c:val>
            <c:numRef>
              <c:f>Calculations!$O$19:$O$36</c:f>
              <c:numCache>
                <c:formatCode>General</c:formatCode>
                <c:ptCount val="18"/>
                <c:pt idx="0">
                  <c:v>4.7619047619047619</c:v>
                </c:pt>
                <c:pt idx="1">
                  <c:v>9.5238095238095237</c:v>
                </c:pt>
                <c:pt idx="2">
                  <c:v>11.111111111111111</c:v>
                </c:pt>
                <c:pt idx="3">
                  <c:v>1.5873015873015872</c:v>
                </c:pt>
                <c:pt idx="4">
                  <c:v>6.3492063492063489</c:v>
                </c:pt>
                <c:pt idx="5">
                  <c:v>3.1746031746031744</c:v>
                </c:pt>
                <c:pt idx="6">
                  <c:v>6.3492063492063489</c:v>
                </c:pt>
                <c:pt idx="7">
                  <c:v>14.285714285714285</c:v>
                </c:pt>
                <c:pt idx="8">
                  <c:v>6.3492063492063489</c:v>
                </c:pt>
                <c:pt idx="9">
                  <c:v>1.5873015873015872</c:v>
                </c:pt>
                <c:pt idx="10">
                  <c:v>1.5873015873015872</c:v>
                </c:pt>
                <c:pt idx="11">
                  <c:v>9.5238095238095237</c:v>
                </c:pt>
                <c:pt idx="12">
                  <c:v>6.3492063492063489</c:v>
                </c:pt>
                <c:pt idx="13">
                  <c:v>9.5238095238095237</c:v>
                </c:pt>
                <c:pt idx="14">
                  <c:v>6.3492063492063489</c:v>
                </c:pt>
                <c:pt idx="15">
                  <c:v>1.5873015873015872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F-C146-93ED-901B806F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9004416"/>
        <c:axId val="1221660304"/>
      </c:barChart>
      <c:catAx>
        <c:axId val="709004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660304"/>
        <c:crosses val="autoZero"/>
        <c:auto val="1"/>
        <c:lblAlgn val="ctr"/>
        <c:lblOffset val="100"/>
        <c:noMultiLvlLbl val="0"/>
      </c:catAx>
      <c:valAx>
        <c:axId val="1221660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0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Diagnostics Offered vs Performed for Patients Prescribed Antibiotics</a:t>
            </a:r>
            <a:r>
              <a:rPr lang="en-US" sz="1800" b="1" baseline="0"/>
              <a:t> 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Calculations!$B$41</c:f>
              <c:strCache>
                <c:ptCount val="1"/>
                <c:pt idx="0">
                  <c:v>Diagnostics Offered</c:v>
                </c:pt>
              </c:strCache>
            </c:strRef>
          </c:tx>
          <c:spPr>
            <a:solidFill>
              <a:srgbClr val="921429"/>
            </a:solidFill>
            <a:ln>
              <a:noFill/>
            </a:ln>
            <a:effectLst/>
          </c:spPr>
          <c:invertIfNegative val="0"/>
          <c:cat>
            <c:strRef>
              <c:f>Calculations!$A$42:$A$54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</c:v>
                </c:pt>
              </c:strCache>
            </c:strRef>
          </c:cat>
          <c:val>
            <c:numRef>
              <c:f>Calculations!$B$42:$B$54</c:f>
              <c:numCache>
                <c:formatCode>General</c:formatCode>
                <c:ptCount val="13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5-264D-9CB8-C0A0079E71FF}"/>
            </c:ext>
          </c:extLst>
        </c:ser>
        <c:ser>
          <c:idx val="1"/>
          <c:order val="1"/>
          <c:tx>
            <c:strRef>
              <c:f>Calculations!$C$41</c:f>
              <c:strCache>
                <c:ptCount val="1"/>
                <c:pt idx="0">
                  <c:v>Diagnostics Performed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Calculations!$A$42:$A$54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</c:v>
                </c:pt>
              </c:strCache>
            </c:strRef>
          </c:cat>
          <c:val>
            <c:numRef>
              <c:f>Calculations!$C$42:$C$54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5-264D-9CB8-C0A0079E7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912688"/>
        <c:axId val="759129200"/>
      </c:barChart>
      <c:catAx>
        <c:axId val="121291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129200"/>
        <c:crosses val="autoZero"/>
        <c:auto val="1"/>
        <c:lblAlgn val="ctr"/>
        <c:lblOffset val="100"/>
        <c:noMultiLvlLbl val="0"/>
      </c:catAx>
      <c:valAx>
        <c:axId val="75912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Number of Patients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9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n-US" sz="18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Percentage of Total Prescriptions by Drug Class</a:t>
            </a:r>
            <a:endParaRPr lang="en-US" sz="1800" b="1"/>
          </a:p>
        </c:rich>
      </c:tx>
      <c:layout>
        <c:manualLayout>
          <c:xMode val="edge"/>
          <c:yMode val="edge"/>
          <c:x val="0.31267441856165401"/>
          <c:y val="2.2960808280716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Calculations!$G$78:$AB$78</c:f>
              <c:strCache>
                <c:ptCount val="22"/>
                <c:pt idx="0">
                  <c:v>Aminoglycosides</c:v>
                </c:pt>
                <c:pt idx="1">
                  <c:v>B-lactam/B-lactamase inhibitor combination</c:v>
                </c:pt>
                <c:pt idx="2">
                  <c:v>Carbapenems</c:v>
                </c:pt>
                <c:pt idx="3">
                  <c:v>Cephalosporins</c:v>
                </c:pt>
                <c:pt idx="4">
                  <c:v>Fluoroquinolones</c:v>
                </c:pt>
                <c:pt idx="5">
                  <c:v>Fosfomycins</c:v>
                </c:pt>
                <c:pt idx="6">
                  <c:v>Glycopeptides</c:v>
                </c:pt>
                <c:pt idx="7">
                  <c:v>Glycylcyclines</c:v>
                </c:pt>
                <c:pt idx="8">
                  <c:v>Lincosamides</c:v>
                </c:pt>
                <c:pt idx="9">
                  <c:v>Macrolides</c:v>
                </c:pt>
                <c:pt idx="10">
                  <c:v>Nitrofurans</c:v>
                </c:pt>
                <c:pt idx="11">
                  <c:v>Nitroimidazoles</c:v>
                </c:pt>
                <c:pt idx="12">
                  <c:v>Ophthalmic</c:v>
                </c:pt>
                <c:pt idx="13">
                  <c:v>Otic</c:v>
                </c:pt>
                <c:pt idx="14">
                  <c:v>Oxazolidinones</c:v>
                </c:pt>
                <c:pt idx="15">
                  <c:v>Penicillins</c:v>
                </c:pt>
                <c:pt idx="16">
                  <c:v>Phenicols</c:v>
                </c:pt>
                <c:pt idx="17">
                  <c:v>Polymyxins</c:v>
                </c:pt>
                <c:pt idx="18">
                  <c:v>Polypeptides</c:v>
                </c:pt>
                <c:pt idx="19">
                  <c:v>Rifampin</c:v>
                </c:pt>
                <c:pt idx="20">
                  <c:v>Sulfonamides</c:v>
                </c:pt>
                <c:pt idx="21">
                  <c:v>Tetracyclines</c:v>
                </c:pt>
              </c:strCache>
            </c:strRef>
          </c:cat>
          <c:val>
            <c:numRef>
              <c:f>Calculations!$G$79:$AB$79</c:f>
              <c:numCache>
                <c:formatCode>General</c:formatCode>
                <c:ptCount val="22"/>
                <c:pt idx="0">
                  <c:v>0</c:v>
                </c:pt>
                <c:pt idx="1">
                  <c:v>4.6875</c:v>
                </c:pt>
                <c:pt idx="2">
                  <c:v>0</c:v>
                </c:pt>
                <c:pt idx="3">
                  <c:v>17.1875</c:v>
                </c:pt>
                <c:pt idx="4">
                  <c:v>7.8125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6.25</c:v>
                </c:pt>
                <c:pt idx="9">
                  <c:v>0</c:v>
                </c:pt>
                <c:pt idx="10">
                  <c:v>0</c:v>
                </c:pt>
                <c:pt idx="11">
                  <c:v>9.375</c:v>
                </c:pt>
                <c:pt idx="12">
                  <c:v>9.375</c:v>
                </c:pt>
                <c:pt idx="13">
                  <c:v>15.625</c:v>
                </c:pt>
                <c:pt idx="14">
                  <c:v>0</c:v>
                </c:pt>
                <c:pt idx="15">
                  <c:v>15.625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14.0625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4-C440-917F-21123894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2467008"/>
        <c:axId val="1212668336"/>
      </c:barChart>
      <c:catAx>
        <c:axId val="762467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668336"/>
        <c:crosses val="autoZero"/>
        <c:auto val="1"/>
        <c:lblAlgn val="ctr"/>
        <c:lblOffset val="100"/>
        <c:noMultiLvlLbl val="0"/>
      </c:catAx>
      <c:valAx>
        <c:axId val="1212668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4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Number</a:t>
            </a:r>
            <a:r>
              <a:rPr lang="en-US" sz="1800" b="1" baseline="0">
                <a:solidFill>
                  <a:schemeClr val="tx1"/>
                </a:solidFill>
              </a:rPr>
              <a:t> of Prescriptions of Drugs to Avoid Using</a:t>
            </a:r>
            <a:endParaRPr lang="en-US" sz="18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Calculations!$AG$86</c:f>
              <c:strCache>
                <c:ptCount val="1"/>
                <c:pt idx="0">
                  <c:v>Vancomycin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89-E347-B31B-90AC9833A33D}"/>
            </c:ext>
          </c:extLst>
        </c:ser>
        <c:ser>
          <c:idx val="1"/>
          <c:order val="1"/>
          <c:tx>
            <c:strRef>
              <c:f>Calculations!$AG$87</c:f>
              <c:strCache>
                <c:ptCount val="1"/>
                <c:pt idx="0">
                  <c:v>Linezolid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89-E347-B31B-90AC9833A33D}"/>
            </c:ext>
          </c:extLst>
        </c:ser>
        <c:ser>
          <c:idx val="2"/>
          <c:order val="2"/>
          <c:tx>
            <c:strRef>
              <c:f>Calculations!$AG$88</c:f>
              <c:strCache>
                <c:ptCount val="1"/>
                <c:pt idx="0">
                  <c:v>Teicoplanin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9-E347-B31B-90AC9833A33D}"/>
            </c:ext>
          </c:extLst>
        </c:ser>
        <c:ser>
          <c:idx val="3"/>
          <c:order val="3"/>
          <c:tx>
            <c:strRef>
              <c:f>Calculations!$AG$89</c:f>
              <c:strCache>
                <c:ptCount val="1"/>
                <c:pt idx="0">
                  <c:v>Colistin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89-E347-B31B-90AC9833A33D}"/>
            </c:ext>
          </c:extLst>
        </c:ser>
        <c:ser>
          <c:idx val="4"/>
          <c:order val="4"/>
          <c:tx>
            <c:strRef>
              <c:f>Calculations!$AG$90</c:f>
              <c:strCache>
                <c:ptCount val="1"/>
                <c:pt idx="0">
                  <c:v>Polymixin B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Calculations!$AH$90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89-E347-B31B-90AC9833A3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2227072"/>
        <c:axId val="776109728"/>
      </c:barChart>
      <c:catAx>
        <c:axId val="762227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76109728"/>
        <c:crosses val="autoZero"/>
        <c:auto val="1"/>
        <c:lblAlgn val="ctr"/>
        <c:lblOffset val="100"/>
        <c:noMultiLvlLbl val="0"/>
      </c:catAx>
      <c:valAx>
        <c:axId val="7761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22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01235405919085"/>
          <c:y val="0.91918644445062747"/>
          <c:w val="0.74700977464023899"/>
          <c:h val="5.9612142121810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Total Watchful Waiting Patients </a:t>
            </a:r>
          </a:p>
          <a:p>
            <a:pPr>
              <a:defRPr sz="1800" b="1"/>
            </a:pPr>
            <a:r>
              <a:rPr lang="en-US" sz="1800" b="0" baseline="0"/>
              <a:t>for Gastrointestinal and Upper Respiratory Tract Diseases</a:t>
            </a:r>
            <a:endParaRPr lang="en-US" sz="18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931392035636189E-2"/>
          <c:y val="0.19951167910180423"/>
          <c:w val="0.90914398585269751"/>
          <c:h val="0.68462027992756669"/>
        </c:manualLayout>
      </c:layout>
      <c:barChart>
        <c:barDir val="col"/>
        <c:grouping val="stacked"/>
        <c:varyColors val="0"/>
        <c:ser>
          <c:idx val="0"/>
          <c:order val="0"/>
          <c:tx>
            <c:v>Number of Patients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Calculations!$U$16:$V$16</c:f>
              <c:strCache>
                <c:ptCount val="2"/>
                <c:pt idx="0">
                  <c:v>Gastrointestinal Disease</c:v>
                </c:pt>
                <c:pt idx="1">
                  <c:v>Upper Respiratory Tract Disease</c:v>
                </c:pt>
              </c:strCache>
            </c:strRef>
          </c:cat>
          <c:val>
            <c:numRef>
              <c:f>Calculations!$U$15:$V$15</c:f>
              <c:numCache>
                <c:formatCode>General</c:formatCod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7-5846-84DB-81B7F889C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821392"/>
        <c:axId val="775479360"/>
      </c:barChart>
      <c:catAx>
        <c:axId val="77382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479360"/>
        <c:crosses val="autoZero"/>
        <c:auto val="1"/>
        <c:lblAlgn val="ctr"/>
        <c:lblOffset val="100"/>
        <c:noMultiLvlLbl val="0"/>
      </c:catAx>
      <c:valAx>
        <c:axId val="7754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</a:t>
                </a:r>
                <a:r>
                  <a:rPr lang="en-US" sz="1200" baseline="0"/>
                  <a:t> Patients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8213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/>
              <a:t>Total Prescriptions by Antibiotic Generation </a:t>
            </a:r>
          </a:p>
          <a:p>
            <a:pPr>
              <a:defRPr/>
            </a:pPr>
            <a:r>
              <a:rPr lang="en-US" sz="1800" b="1" baseline="0"/>
              <a:t>(Penicillins and Cephalosporins) 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Calculations!$K$149:$M$149</c:f>
              <c:strCache>
                <c:ptCount val="3"/>
                <c:pt idx="0">
                  <c:v>1st Generation</c:v>
                </c:pt>
                <c:pt idx="1">
                  <c:v>2nd Generation</c:v>
                </c:pt>
                <c:pt idx="2">
                  <c:v>3rd Generation</c:v>
                </c:pt>
              </c:strCache>
            </c:strRef>
          </c:cat>
          <c:val>
            <c:numRef>
              <c:f>Calculations!$K$150:$M$150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B-794F-BD20-C56B8B66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107248"/>
        <c:axId val="804701904"/>
      </c:barChart>
      <c:catAx>
        <c:axId val="788107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701904"/>
        <c:crosses val="autoZero"/>
        <c:auto val="1"/>
        <c:lblAlgn val="ctr"/>
        <c:lblOffset val="100"/>
        <c:noMultiLvlLbl val="0"/>
      </c:catAx>
      <c:valAx>
        <c:axId val="8047019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10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Percentage</a:t>
            </a:r>
            <a:r>
              <a:rPr lang="en-US" sz="2400" b="1" baseline="0"/>
              <a:t> of Canine and Feline Patient Visits </a:t>
            </a:r>
            <a:endParaRPr lang="en-US" sz="2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2F-014D-A7FD-F808431AA68F}"/>
              </c:ext>
            </c:extLst>
          </c:dPt>
          <c:dPt>
            <c:idx val="1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22F-014D-A7FD-F808431AA68F}"/>
              </c:ext>
            </c:extLst>
          </c:dPt>
          <c:dLbls>
            <c:dLbl>
              <c:idx val="0"/>
              <c:layout>
                <c:manualLayout>
                  <c:x val="0.25099597262986323"/>
                  <c:y val="0.198718802680095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22F-014D-A7FD-F808431AA68F}"/>
                </c:ext>
              </c:extLst>
            </c:dLbl>
            <c:dLbl>
              <c:idx val="1"/>
              <c:layout>
                <c:manualLayout>
                  <c:x val="-0.2976095104039807"/>
                  <c:y val="0.21527870290343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22F-014D-A7FD-F808431AA68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Calculations!$N$154:$N$155</c:f>
              <c:strCache>
                <c:ptCount val="2"/>
                <c:pt idx="0">
                  <c:v>Canine</c:v>
                </c:pt>
                <c:pt idx="1">
                  <c:v>Feline</c:v>
                </c:pt>
              </c:strCache>
            </c:strRef>
          </c:cat>
          <c:val>
            <c:numRef>
              <c:f>Calculations!$O$154:$O$155</c:f>
              <c:numCache>
                <c:formatCode>General</c:formatCode>
                <c:ptCount val="2"/>
                <c:pt idx="0">
                  <c:v>62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2F-014D-A7FD-F808431A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rsi.umn.edu/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23961</xdr:colOff>
      <xdr:row>1</xdr:row>
      <xdr:rowOff>46486</xdr:rowOff>
    </xdr:from>
    <xdr:to>
      <xdr:col>1</xdr:col>
      <xdr:colOff>216829</xdr:colOff>
      <xdr:row>4</xdr:row>
      <xdr:rowOff>789878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BD6EE62-D8A9-014F-91DC-9D4F7F127AA8}"/>
            </a:ext>
          </a:extLst>
        </xdr:cNvPr>
        <xdr:cNvSpPr/>
      </xdr:nvSpPr>
      <xdr:spPr>
        <a:xfrm>
          <a:off x="23961" y="898315"/>
          <a:ext cx="4033844" cy="2834246"/>
        </a:xfrm>
        <a:prstGeom prst="roundRect">
          <a:avLst/>
        </a:prstGeom>
        <a:solidFill>
          <a:srgbClr val="7B1D1A"/>
        </a:solidFill>
        <a:ln>
          <a:solidFill>
            <a:srgbClr val="7B1D1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US" sz="16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is an </a:t>
          </a:r>
          <a:r>
            <a:rPr lang="en-US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Infection and Antibiotic Use Tracking Tool for Companion Animal</a:t>
          </a:r>
          <a:r>
            <a:rPr lang="en-US" sz="16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Clinics</a:t>
          </a:r>
          <a:endParaRPr lang="en-US" sz="16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Use this tool to understand your clinic's antibiotic use, prescribing patterns, and implement antibiotic stewardship initiatives based off tracking results.</a:t>
          </a:r>
          <a:endParaRPr lang="en-US" sz="1600"/>
        </a:p>
      </xdr:txBody>
    </xdr:sp>
    <xdr:clientData/>
  </xdr:twoCellAnchor>
  <xdr:twoCellAnchor>
    <xdr:from>
      <xdr:col>0</xdr:col>
      <xdr:colOff>47924</xdr:colOff>
      <xdr:row>0</xdr:row>
      <xdr:rowOff>35942</xdr:rowOff>
    </xdr:from>
    <xdr:to>
      <xdr:col>1</xdr:col>
      <xdr:colOff>619512</xdr:colOff>
      <xdr:row>1</xdr:row>
      <xdr:rowOff>108415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2432849-A8A0-F14B-B3BB-9419A51475E9}"/>
            </a:ext>
          </a:extLst>
        </xdr:cNvPr>
        <xdr:cNvSpPr txBox="1"/>
      </xdr:nvSpPr>
      <xdr:spPr>
        <a:xfrm>
          <a:off x="47924" y="35942"/>
          <a:ext cx="4412564" cy="924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0" cap="none" spc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Antimicrobial</a:t>
          </a:r>
          <a:r>
            <a:rPr lang="en-US" sz="2400" b="0" cap="none" spc="0" baseline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Resistance and Stewardship Initiative </a:t>
          </a:r>
          <a:endParaRPr lang="en-US" sz="2400" b="0" cap="none" spc="0">
            <a:ln w="0">
              <a:solidFill>
                <a:srgbClr val="921429"/>
              </a:solidFill>
            </a:ln>
            <a:solidFill>
              <a:srgbClr val="921429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4</xdr:row>
      <xdr:rowOff>972515</xdr:rowOff>
    </xdr:from>
    <xdr:to>
      <xdr:col>1</xdr:col>
      <xdr:colOff>340730</xdr:colOff>
      <xdr:row>22</xdr:row>
      <xdr:rowOff>123901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ED0939-F339-0B4B-AC5C-B7119C31CF33}"/>
            </a:ext>
          </a:extLst>
        </xdr:cNvPr>
        <xdr:cNvSpPr/>
      </xdr:nvSpPr>
      <xdr:spPr>
        <a:xfrm>
          <a:off x="0" y="3915198"/>
          <a:ext cx="4181706" cy="6399679"/>
        </a:xfrm>
        <a:prstGeom prst="roundRect">
          <a:avLst/>
        </a:prstGeom>
        <a:solidFill>
          <a:schemeClr val="bg2">
            <a:lumMod val="75000"/>
          </a:schemeClr>
        </a:solidFill>
        <a:ln>
          <a:solidFill>
            <a:srgbClr val="7B1D1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bg1"/>
              </a:solidFill>
            </a:rPr>
            <a:t>ARSI Project Background</a:t>
          </a:r>
        </a:p>
        <a:p>
          <a:pPr algn="ctr"/>
          <a:endParaRPr lang="en-US" sz="1600" b="1">
            <a:solidFill>
              <a:schemeClr val="bg1"/>
            </a:solidFill>
          </a:endParaRPr>
        </a:p>
        <a:p>
          <a:pPr algn="l"/>
          <a:r>
            <a:rPr lang="en-US" sz="1600" b="1">
              <a:solidFill>
                <a:schemeClr val="bg1"/>
              </a:solidFill>
            </a:rPr>
            <a:t>Mission: </a:t>
          </a:r>
          <a:r>
            <a:rPr lang="en-US" sz="1600">
              <a:solidFill>
                <a:schemeClr val="bg1"/>
              </a:solidFill>
            </a:rPr>
            <a:t>Provide an environment to foster discussion, exploration, and sharing of data and practices to enhance animal health and engage the veterinary profession. </a:t>
          </a:r>
        </a:p>
        <a:p>
          <a:pPr algn="l"/>
          <a:endParaRPr lang="en-US" sz="1600" b="1">
            <a:solidFill>
              <a:schemeClr val="bg1"/>
            </a:solidFill>
          </a:endParaRPr>
        </a:p>
        <a:p>
          <a:pPr algn="l"/>
          <a:r>
            <a:rPr lang="en-US" sz="1600" b="1">
              <a:solidFill>
                <a:schemeClr val="bg1"/>
              </a:solidFill>
            </a:rPr>
            <a:t>Goals: </a:t>
          </a:r>
        </a:p>
        <a:p>
          <a:pPr algn="l"/>
          <a:r>
            <a:rPr lang="en-US" sz="1600">
              <a:solidFill>
                <a:schemeClr val="bg1"/>
              </a:solidFill>
            </a:rPr>
            <a:t>1. To provide high-quality and evidence-based resources and materials for practitioners and clients in companion animal medicine.</a:t>
          </a:r>
        </a:p>
        <a:p>
          <a:pPr algn="l"/>
          <a:endParaRPr lang="en-US" sz="1600">
            <a:solidFill>
              <a:schemeClr val="bg1"/>
            </a:solidFill>
          </a:endParaRPr>
        </a:p>
        <a:p>
          <a:pPr algn="l"/>
          <a:r>
            <a:rPr lang="en-US" sz="1600">
              <a:solidFill>
                <a:schemeClr val="bg1"/>
              </a:solidFill>
            </a:rPr>
            <a:t>2. To establish a comprehensive surveillance system for companion animal disease and treatment.</a:t>
          </a:r>
        </a:p>
        <a:p>
          <a:pPr algn="l"/>
          <a:endParaRPr lang="en-US" sz="1600">
            <a:solidFill>
              <a:schemeClr val="bg1"/>
            </a:solidFill>
          </a:endParaRPr>
        </a:p>
        <a:p>
          <a:pPr algn="l"/>
          <a:r>
            <a:rPr lang="en-US" sz="1600">
              <a:solidFill>
                <a:schemeClr val="bg1"/>
              </a:solidFill>
            </a:rPr>
            <a:t>3. To understand local and national antimicrobial use and resistance patterns in companion animal practice.</a:t>
          </a:r>
        </a:p>
        <a:p>
          <a:pPr algn="l"/>
          <a:endParaRPr lang="en-US" sz="1200">
            <a:solidFill>
              <a:schemeClr val="bg1"/>
            </a:solidFill>
          </a:endParaRPr>
        </a:p>
        <a:p>
          <a:pPr algn="ctr"/>
          <a:r>
            <a:rPr lang="en-US" sz="1200">
              <a:solidFill>
                <a:schemeClr val="bg1"/>
              </a:solidFill>
            </a:rPr>
            <a:t>More information at:</a:t>
          </a:r>
        </a:p>
        <a:p>
          <a:pPr algn="ctr"/>
          <a:r>
            <a:rPr lang="en-US" sz="1600" b="1">
              <a:solidFill>
                <a:schemeClr val="tx1"/>
              </a:solidFill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xmlns="" val="tx"/>
                  </a:ext>
                </a:extLst>
              </a:hlinkClick>
            </a:rPr>
            <a:t>https://arsi.umn.edu/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805364</xdr:colOff>
      <xdr:row>0</xdr:row>
      <xdr:rowOff>588536</xdr:rowOff>
    </xdr:from>
    <xdr:to>
      <xdr:col>14</xdr:col>
      <xdr:colOff>232317</xdr:colOff>
      <xdr:row>10</xdr:row>
      <xdr:rowOff>77439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26428C-BF53-3744-B161-60978CA2AA9A}"/>
            </a:ext>
          </a:extLst>
        </xdr:cNvPr>
        <xdr:cNvSpPr txBox="1"/>
      </xdr:nvSpPr>
      <xdr:spPr>
        <a:xfrm>
          <a:off x="4646340" y="588536"/>
          <a:ext cx="10098050" cy="7263781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About This</a:t>
          </a:r>
          <a:r>
            <a:rPr lang="en-US" sz="2000" b="1" baseline="0"/>
            <a:t> Excel Workbook</a:t>
          </a:r>
        </a:p>
        <a:p>
          <a:pPr algn="ctr"/>
          <a:endParaRPr lang="en-US" sz="1800" baseline="0"/>
        </a:p>
        <a:p>
          <a:pPr algn="ctr"/>
          <a:r>
            <a:rPr lang="en-US" sz="1800"/>
            <a:t>This workbook contains the total patients, summary tables, tracking tool, and dropdown options.</a:t>
          </a:r>
        </a:p>
        <a:p>
          <a:pPr algn="ctr"/>
          <a:endParaRPr lang="en-US" sz="1800"/>
        </a:p>
        <a:p>
          <a:pPr algn="l"/>
          <a:r>
            <a:rPr lang="en-US" sz="1800" b="1"/>
            <a:t>The sheets in the workbook include:</a:t>
          </a:r>
        </a:p>
        <a:p>
          <a:pPr algn="l"/>
          <a:endParaRPr lang="en-US" sz="1800"/>
        </a:p>
        <a:p>
          <a:pPr algn="l"/>
          <a:endParaRPr lang="en-US" sz="1800"/>
        </a:p>
        <a:p>
          <a:pPr algn="l"/>
          <a:r>
            <a:rPr lang="en-US" sz="1800" b="1"/>
            <a:t>Data Options</a:t>
          </a:r>
          <a:r>
            <a:rPr lang="en-US" sz="1800"/>
            <a:t>. Lists the type of data expected for each column and the dropdown values that are available for non-free text columns. </a:t>
          </a:r>
          <a:r>
            <a:rPr lang="en-US" sz="1800">
              <a:solidFill>
                <a:srgbClr val="C00000"/>
              </a:solidFill>
            </a:rPr>
            <a:t>Dropdown values can be tailored to your clinic's needs, so additional values can be added on the Data Options Sheet. </a:t>
          </a:r>
        </a:p>
        <a:p>
          <a:pPr algn="l"/>
          <a:endParaRPr lang="en-US" sz="1800"/>
        </a:p>
        <a:p>
          <a:pPr algn="l"/>
          <a:r>
            <a:rPr lang="en-US" sz="1800" b="1"/>
            <a:t>Month</a:t>
          </a:r>
          <a:r>
            <a:rPr lang="en-US" sz="1800"/>
            <a:t>. Enter patient information for the month (or time period) that you define for data recording. Each time period should be entered in its own sheet.</a:t>
          </a:r>
        </a:p>
        <a:p>
          <a:pPr algn="l"/>
          <a:endParaRPr lang="en-US" sz="1800"/>
        </a:p>
        <a:p>
          <a:pPr algn="l"/>
          <a:r>
            <a:rPr lang="en-US" sz="1800" b="1"/>
            <a:t>Total Patients</a:t>
          </a:r>
          <a:r>
            <a:rPr lang="en-US" sz="1800"/>
            <a:t>. List the total number of patients that were seen each month or during specified time period.</a:t>
          </a:r>
        </a:p>
        <a:p>
          <a:pPr algn="l"/>
          <a:endParaRPr lang="en-US" sz="1800"/>
        </a:p>
        <a:p>
          <a:pPr algn="l"/>
          <a:r>
            <a:rPr lang="en-US" sz="1800" b="1"/>
            <a:t>Summary Tables</a:t>
          </a:r>
          <a:r>
            <a:rPr lang="en-US" sz="1800"/>
            <a:t>. These charts and tables will help to easily visualize antibiotic prescribing. They are automatically generated as information is entered.</a:t>
          </a:r>
        </a:p>
        <a:p>
          <a:pPr algn="l"/>
          <a:endParaRPr lang="en-US" sz="1800"/>
        </a:p>
        <a:p>
          <a:pPr algn="l"/>
          <a:r>
            <a:rPr lang="en-US" sz="1800" b="1"/>
            <a:t>Calculations (hidden). </a:t>
          </a:r>
          <a:r>
            <a:rPr lang="en-US" sz="1800"/>
            <a:t>Formula sheet that generates the Summary Tables. Do not change or edit.</a:t>
          </a:r>
        </a:p>
        <a:p>
          <a:pPr algn="ctr"/>
          <a:endParaRPr lang="en-US" sz="1800"/>
        </a:p>
        <a:p>
          <a:pPr algn="ctr"/>
          <a:r>
            <a:rPr lang="en-US" sz="2400" b="1">
              <a:solidFill>
                <a:srgbClr val="7B1D1A"/>
              </a:solidFill>
            </a:rPr>
            <a:t>Please</a:t>
          </a:r>
          <a:r>
            <a:rPr lang="en-US" sz="2400" b="1" baseline="0">
              <a:solidFill>
                <a:srgbClr val="7B1D1A"/>
              </a:solidFill>
            </a:rPr>
            <a:t> refer to the </a:t>
          </a:r>
          <a:r>
            <a:rPr lang="en-US" sz="2400" b="1" baseline="0">
              <a:solidFill>
                <a:schemeClr val="tx1"/>
              </a:solidFill>
            </a:rPr>
            <a:t>Instructions Document </a:t>
          </a:r>
          <a:r>
            <a:rPr lang="en-US" sz="2400" b="1" baseline="0">
              <a:solidFill>
                <a:srgbClr val="7B1D1A"/>
              </a:solidFill>
            </a:rPr>
            <a:t>for more detailed information on proper use of this tool. </a:t>
          </a:r>
          <a:endParaRPr lang="en-US" sz="2400" b="1">
            <a:solidFill>
              <a:srgbClr val="7B1D1A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787400</xdr:colOff>
      <xdr:row>0</xdr:row>
      <xdr:rowOff>50800</xdr:rowOff>
    </xdr:from>
    <xdr:to>
      <xdr:col>13</xdr:col>
      <xdr:colOff>365128</xdr:colOff>
      <xdr:row>24</xdr:row>
      <xdr:rowOff>174625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A78C291-4BCC-0945-B2FD-87EC9B88762B}"/>
            </a:ext>
          </a:extLst>
        </xdr:cNvPr>
        <xdr:cNvSpPr/>
      </xdr:nvSpPr>
      <xdr:spPr>
        <a:xfrm>
          <a:off x="4978400" y="50800"/>
          <a:ext cx="7832728" cy="50006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This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information must be manually entered </a:t>
          </a:r>
          <a:r>
            <a:rPr lang="en-US" sz="2000" b="1" u="non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before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any auto-calculations and/or charts can be generated by Excel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The total number of patients seen at your clinic must be entered in this chart.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The time period is set up by month by default, but can adjusted to fit your clinics goals for recording data.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For example, you can record data for the first week of every month, but the total number of patients entered into this chart must also be 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only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from the first week of the month to reflect the correct statistics.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419100</xdr:colOff>
      <xdr:row>0</xdr:row>
      <xdr:rowOff>177800</xdr:rowOff>
    </xdr:from>
    <xdr:to>
      <xdr:col>3</xdr:col>
      <xdr:colOff>330200</xdr:colOff>
      <xdr:row>6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FCF2471-DC44-B94C-8205-984A6E28B19B}"/>
            </a:ext>
          </a:extLst>
        </xdr:cNvPr>
        <xdr:cNvSpPr txBox="1"/>
      </xdr:nvSpPr>
      <xdr:spPr>
        <a:xfrm>
          <a:off x="419100" y="177800"/>
          <a:ext cx="4279900" cy="1168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 cap="none" spc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Antimicrobial</a:t>
          </a:r>
          <a:r>
            <a:rPr lang="en-US" sz="2800" b="0" cap="none" spc="0" baseline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Resistance and Stewardship Initiative </a:t>
          </a:r>
          <a:endParaRPr lang="en-US" sz="2800" b="0" cap="none" spc="0">
            <a:ln w="0">
              <a:solidFill>
                <a:srgbClr val="921429"/>
              </a:solidFill>
            </a:ln>
            <a:solidFill>
              <a:srgbClr val="921429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298842</xdr:colOff>
      <xdr:row>24</xdr:row>
      <xdr:rowOff>138133</xdr:rowOff>
    </xdr:from>
    <xdr:to>
      <xdr:col>9</xdr:col>
      <xdr:colOff>209942</xdr:colOff>
      <xdr:row>40</xdr:row>
      <xdr:rowOff>163533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3F865-CF59-2A40-84FE-C14C08FFC0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1</xdr:row>
      <xdr:rowOff>0</xdr:rowOff>
    </xdr:from>
    <xdr:to>
      <xdr:col>9</xdr:col>
      <xdr:colOff>215900</xdr:colOff>
      <xdr:row>15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A70EA9-525B-4D49-B692-7FB0900BC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508000</xdr:colOff>
      <xdr:row>1</xdr:row>
      <xdr:rowOff>12700</xdr:rowOff>
    </xdr:from>
    <xdr:to>
      <xdr:col>19</xdr:col>
      <xdr:colOff>254000</xdr:colOff>
      <xdr:row>24</xdr:row>
      <xdr:rowOff>78395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E9F0A6-6DFE-8546-9514-28EFE9DDD7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304810</xdr:colOff>
      <xdr:row>78</xdr:row>
      <xdr:rowOff>86284</xdr:rowOff>
    </xdr:from>
    <xdr:to>
      <xdr:col>9</xdr:col>
      <xdr:colOff>247660</xdr:colOff>
      <xdr:row>96</xdr:row>
      <xdr:rowOff>134598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CA2AE5-2520-5B4C-A66C-A89387C8D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488950</xdr:colOff>
      <xdr:row>30</xdr:row>
      <xdr:rowOff>158549</xdr:rowOff>
    </xdr:from>
    <xdr:to>
      <xdr:col>20</xdr:col>
      <xdr:colOff>109753</xdr:colOff>
      <xdr:row>67</xdr:row>
      <xdr:rowOff>125624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3A0679C-7E72-2441-BB15-0E7E28CAD3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603887</xdr:colOff>
      <xdr:row>95</xdr:row>
      <xdr:rowOff>172467</xdr:rowOff>
    </xdr:from>
    <xdr:to>
      <xdr:col>18</xdr:col>
      <xdr:colOff>800188</xdr:colOff>
      <xdr:row>113</xdr:row>
      <xdr:rowOff>108340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BEB122-A907-6149-88A6-E7F31098D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375913</xdr:colOff>
      <xdr:row>51</xdr:row>
      <xdr:rowOff>47612</xdr:rowOff>
    </xdr:from>
    <xdr:to>
      <xdr:col>9</xdr:col>
      <xdr:colOff>297519</xdr:colOff>
      <xdr:row>68</xdr:row>
      <xdr:rowOff>141685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C1EFD1F6-228A-B44F-8153-23203C2EF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535102</xdr:colOff>
      <xdr:row>72</xdr:row>
      <xdr:rowOff>50712</xdr:rowOff>
    </xdr:from>
    <xdr:to>
      <xdr:col>19</xdr:col>
      <xdr:colOff>407654</xdr:colOff>
      <xdr:row>89</xdr:row>
      <xdr:rowOff>94075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B6E886C5-F9F1-3646-9C2A-FAEC3A5451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15678</xdr:colOff>
      <xdr:row>15</xdr:row>
      <xdr:rowOff>62716</xdr:rowOff>
    </xdr:from>
    <xdr:to>
      <xdr:col>9</xdr:col>
      <xdr:colOff>313580</xdr:colOff>
      <xdr:row>23</xdr:row>
      <xdr:rowOff>62716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251CEE8-CF8B-6847-9AF6-F7CF7DF72941}"/>
            </a:ext>
          </a:extLst>
        </xdr:cNvPr>
        <xdr:cNvSpPr txBox="1"/>
      </xdr:nvSpPr>
      <xdr:spPr>
        <a:xfrm>
          <a:off x="846666" y="3857037"/>
          <a:ext cx="8905679" cy="1630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Table 1. This table calculates the percentage of total patients prescribed antibiotics using the manually entered number on the Total Patients sheet and every patient that receives a "Yes" in Patient Prescibed Antibiotic Column for each month. </a:t>
          </a:r>
        </a:p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Figure 1. The </a:t>
          </a:r>
          <a:r>
            <a:rPr lang="en-US" sz="1600" b="1" baseline="0">
              <a:solidFill>
                <a:schemeClr val="bg2">
                  <a:lumMod val="25000"/>
                </a:schemeClr>
              </a:solidFill>
            </a:rPr>
            <a:t>total precentage of antibiotic prescriptions 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for all the months is illustrated by the pie graph. 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486050</xdr:colOff>
      <xdr:row>24</xdr:row>
      <xdr:rowOff>125432</xdr:rowOff>
    </xdr:from>
    <xdr:to>
      <xdr:col>18</xdr:col>
      <xdr:colOff>627161</xdr:colOff>
      <xdr:row>28</xdr:row>
      <xdr:rowOff>47037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C9E3BCF-64DB-AC41-8A84-C18BEFBB0CC6}"/>
            </a:ext>
          </a:extLst>
        </xdr:cNvPr>
        <xdr:cNvSpPr txBox="1"/>
      </xdr:nvSpPr>
      <xdr:spPr>
        <a:xfrm>
          <a:off x="9924815" y="5754197"/>
          <a:ext cx="7620000" cy="7369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Figure 2. Use this chart to evaluate which conditions are associated with the largest percentage of antibiotic prescriptions. 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0</xdr:col>
      <xdr:colOff>391975</xdr:colOff>
      <xdr:row>41</xdr:row>
      <xdr:rowOff>109754</xdr:rowOff>
    </xdr:from>
    <xdr:to>
      <xdr:col>9</xdr:col>
      <xdr:colOff>188149</xdr:colOff>
      <xdr:row>47</xdr:row>
      <xdr:rowOff>109753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A4CF568-B74C-B64B-B6C0-2A96AAAF3929}"/>
            </a:ext>
          </a:extLst>
        </xdr:cNvPr>
        <xdr:cNvSpPr txBox="1"/>
      </xdr:nvSpPr>
      <xdr:spPr>
        <a:xfrm>
          <a:off x="391975" y="9203581"/>
          <a:ext cx="9234939" cy="122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3.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</a:t>
          </a:r>
          <a:r>
            <a:rPr lang="en-US" sz="1600">
              <a:solidFill>
                <a:schemeClr val="bg2">
                  <a:lumMod val="25000"/>
                </a:schemeClr>
              </a:solidFill>
            </a:rPr>
            <a:t>This chart summarizes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the total number of patients per month and whether they were prescribed antibiotics, not prescribed antibiotics, or utilized watchful waiting*. </a:t>
          </a:r>
        </a:p>
        <a:p>
          <a:pPr algn="ctr"/>
          <a:endParaRPr lang="en-US" sz="1600" baseline="0">
            <a:solidFill>
              <a:schemeClr val="bg2">
                <a:lumMod val="25000"/>
              </a:schemeClr>
            </a:solidFill>
          </a:endParaRPr>
        </a:p>
        <a:p>
          <a:pPr algn="ctr"/>
          <a:r>
            <a:rPr lang="en-US" sz="1600" baseline="0">
              <a:solidFill>
                <a:schemeClr val="accent6">
                  <a:lumMod val="75000"/>
                </a:schemeClr>
              </a:solidFill>
            </a:rPr>
            <a:t>*Watchful waiting is d</a:t>
          </a:r>
          <a:r>
            <a:rPr lang="en-US" sz="1600">
              <a:solidFill>
                <a:schemeClr val="accent6">
                  <a:lumMod val="75000"/>
                </a:schemeClr>
              </a:solidFill>
            </a:rPr>
            <a:t>elayed prescribing for conditions that often self-resolve. </a:t>
          </a:r>
        </a:p>
      </xdr:txBody>
    </xdr:sp>
    <xdr:clientData/>
  </xdr:twoCellAnchor>
  <xdr:twoCellAnchor>
    <xdr:from>
      <xdr:col>0</xdr:col>
      <xdr:colOff>267115</xdr:colOff>
      <xdr:row>69</xdr:row>
      <xdr:rowOff>31549</xdr:rowOff>
    </xdr:from>
    <xdr:to>
      <xdr:col>9</xdr:col>
      <xdr:colOff>282795</xdr:colOff>
      <xdr:row>76</xdr:row>
      <xdr:rowOff>191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4AE4479-33AE-E34D-AE17-DA94961BBD33}"/>
            </a:ext>
          </a:extLst>
        </xdr:cNvPr>
        <xdr:cNvSpPr txBox="1"/>
      </xdr:nvSpPr>
      <xdr:spPr>
        <a:xfrm>
          <a:off x="267115" y="14853378"/>
          <a:ext cx="9385802" cy="1378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4. The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total number of patients using a watchful waiting approach for gastrointestinal disease and upper respiratory tract disease are shown in this graph.</a:t>
          </a:r>
        </a:p>
        <a:p>
          <a:pPr algn="ctr"/>
          <a:endParaRPr lang="en-US" sz="1600" baseline="0">
            <a:solidFill>
              <a:schemeClr val="bg2">
                <a:lumMod val="25000"/>
              </a:schemeClr>
            </a:solidFill>
          </a:endParaRPr>
        </a:p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</a:t>
          </a:r>
          <a:r>
            <a:rPr lang="en-US" sz="1600" i="1" baseline="0">
              <a:solidFill>
                <a:schemeClr val="bg2">
                  <a:lumMod val="25000"/>
                </a:schemeClr>
              </a:solidFill>
            </a:rPr>
            <a:t>These types of conditions often resolve on their own so consider watchful waiting guidance for clients and reduce antibiotic prescriptions that might be unnecessary. </a:t>
          </a:r>
          <a:endParaRPr lang="en-US" sz="1600" i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454692</xdr:colOff>
      <xdr:row>68</xdr:row>
      <xdr:rowOff>78012</xdr:rowOff>
    </xdr:from>
    <xdr:to>
      <xdr:col>19</xdr:col>
      <xdr:colOff>721235</xdr:colOff>
      <xdr:row>71</xdr:row>
      <xdr:rowOff>78011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84FAE90-B13F-FC4E-B483-2F375DF27527}"/>
            </a:ext>
          </a:extLst>
        </xdr:cNvPr>
        <xdr:cNvSpPr txBox="1"/>
      </xdr:nvSpPr>
      <xdr:spPr>
        <a:xfrm>
          <a:off x="9824814" y="14698500"/>
          <a:ext cx="8475080" cy="604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Figure 5. Use this chart to evaluate which antibiotic classes have the highest percentage of usage.</a:t>
          </a:r>
          <a:endParaRPr lang="en-US" sz="1100"/>
        </a:p>
      </xdr:txBody>
    </xdr:sp>
    <xdr:clientData/>
  </xdr:twoCellAnchor>
  <xdr:twoCellAnchor>
    <xdr:from>
      <xdr:col>9</xdr:col>
      <xdr:colOff>470563</xdr:colOff>
      <xdr:row>90</xdr:row>
      <xdr:rowOff>1721</xdr:rowOff>
    </xdr:from>
    <xdr:to>
      <xdr:col>19</xdr:col>
      <xdr:colOff>439204</xdr:colOff>
      <xdr:row>94</xdr:row>
      <xdr:rowOff>140347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1C96D7C-8627-4149-A9DD-95C5867D98CC}"/>
            </a:ext>
          </a:extLst>
        </xdr:cNvPr>
        <xdr:cNvSpPr txBox="1"/>
      </xdr:nvSpPr>
      <xdr:spPr>
        <a:xfrm>
          <a:off x="9840685" y="19051721"/>
          <a:ext cx="8177178" cy="943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7. This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graph shows the total number of 1st generation, 2nd generation, and 3rd generation penicillins and cephalosporins prescriptions at the clinic. 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606129</xdr:colOff>
      <xdr:row>114</xdr:row>
      <xdr:rowOff>15488</xdr:rowOff>
    </xdr:from>
    <xdr:to>
      <xdr:col>19</xdr:col>
      <xdr:colOff>98854</xdr:colOff>
      <xdr:row>119</xdr:row>
      <xdr:rowOff>140921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E1826D2-666E-BB48-A6D0-63EF1589A452}"/>
            </a:ext>
          </a:extLst>
        </xdr:cNvPr>
        <xdr:cNvSpPr txBox="1"/>
      </xdr:nvSpPr>
      <xdr:spPr>
        <a:xfrm>
          <a:off x="9976251" y="23897683"/>
          <a:ext cx="7701262" cy="1132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ctr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Figure 8. This graph reflects the total number of antibiotic prescriptions that are considered</a:t>
          </a:r>
          <a:r>
            <a:rPr lang="en-US" sz="1600" baseline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 restricted and should not be used in veterinary medicine</a:t>
          </a: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. They are reserved as last-line therapy for human infections. These drugs should NOT be</a:t>
          </a:r>
          <a:r>
            <a:rPr lang="en-US" sz="1600" baseline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kept on-hand in the clinic. The goal for this graph is to show zero</a:t>
          </a:r>
          <a:r>
            <a:rPr lang="en-US" sz="1600" baseline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prescriptions.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1</xdr:col>
      <xdr:colOff>187575</xdr:colOff>
      <xdr:row>97</xdr:row>
      <xdr:rowOff>79924</xdr:rowOff>
    </xdr:from>
    <xdr:to>
      <xdr:col>7</xdr:col>
      <xdr:colOff>548193</xdr:colOff>
      <xdr:row>103</xdr:row>
      <xdr:rowOff>79924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1D0B18C-FA43-3441-81C0-18ED8F969E2E}"/>
            </a:ext>
          </a:extLst>
        </xdr:cNvPr>
        <xdr:cNvSpPr txBox="1"/>
      </xdr:nvSpPr>
      <xdr:spPr>
        <a:xfrm>
          <a:off x="1008429" y="20539314"/>
          <a:ext cx="7268179" cy="1208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6. Use this chart to assess how many patients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that were prescribed antibiotics were offered diagnostics compared to how many had diagnostics performed each month.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108414</xdr:colOff>
      <xdr:row>124</xdr:row>
      <xdr:rowOff>92927</xdr:rowOff>
    </xdr:from>
    <xdr:to>
      <xdr:col>19</xdr:col>
      <xdr:colOff>371706</xdr:colOff>
      <xdr:row>150</xdr:row>
      <xdr:rowOff>15488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4B35B5A-87EF-EA44-B479-ABCA12516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409259</xdr:colOff>
      <xdr:row>124</xdr:row>
      <xdr:rowOff>79923</xdr:rowOff>
    </xdr:from>
    <xdr:to>
      <xdr:col>8</xdr:col>
      <xdr:colOff>547236</xdr:colOff>
      <xdr:row>149</xdr:row>
      <xdr:rowOff>187192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F7C88D9-3E61-2948-BEF9-8780DAC60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156791</xdr:colOff>
      <xdr:row>154</xdr:row>
      <xdr:rowOff>170364</xdr:rowOff>
    </xdr:from>
    <xdr:to>
      <xdr:col>8</xdr:col>
      <xdr:colOff>573049</xdr:colOff>
      <xdr:row>184</xdr:row>
      <xdr:rowOff>92925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6460F2E-BC80-4749-B349-6F0436A47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526585</xdr:colOff>
      <xdr:row>184</xdr:row>
      <xdr:rowOff>170365</xdr:rowOff>
    </xdr:from>
    <xdr:to>
      <xdr:col>8</xdr:col>
      <xdr:colOff>387195</xdr:colOff>
      <xdr:row>189</xdr:row>
      <xdr:rowOff>139390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2A2929D-9082-8B4E-8157-926A15D96F65}"/>
            </a:ext>
          </a:extLst>
        </xdr:cNvPr>
        <xdr:cNvSpPr txBox="1"/>
      </xdr:nvSpPr>
      <xdr:spPr>
        <a:xfrm>
          <a:off x="2818780" y="38146463"/>
          <a:ext cx="6117683" cy="975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Figure 11. Age demographics</a:t>
          </a:r>
          <a:r>
            <a:rPr lang="en-US" sz="1800" baseline="0"/>
            <a:t> of patient visits.</a:t>
          </a:r>
          <a:endParaRPr lang="en-US" sz="1800"/>
        </a:p>
      </xdr:txBody>
    </xdr:sp>
    <xdr:clientData/>
  </xdr:twoCellAnchor>
  <xdr:twoCellAnchor>
    <xdr:from>
      <xdr:col>2</xdr:col>
      <xdr:colOff>15487</xdr:colOff>
      <xdr:row>150</xdr:row>
      <xdr:rowOff>77439</xdr:rowOff>
    </xdr:from>
    <xdr:to>
      <xdr:col>7</xdr:col>
      <xdr:colOff>696950</xdr:colOff>
      <xdr:row>153</xdr:row>
      <xdr:rowOff>30976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6403F49-C422-E84C-BF65-6C40209631B6}"/>
            </a:ext>
          </a:extLst>
        </xdr:cNvPr>
        <xdr:cNvSpPr txBox="1"/>
      </xdr:nvSpPr>
      <xdr:spPr>
        <a:xfrm>
          <a:off x="2307682" y="31207927"/>
          <a:ext cx="6117683" cy="557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Figure 9. Sex demographics</a:t>
          </a:r>
          <a:r>
            <a:rPr lang="en-US" sz="1800" baseline="0"/>
            <a:t> of patient visits.</a:t>
          </a:r>
          <a:endParaRPr lang="en-US" sz="1800"/>
        </a:p>
      </xdr:txBody>
    </xdr:sp>
    <xdr:clientData/>
  </xdr:twoCellAnchor>
  <xdr:twoCellAnchor>
    <xdr:from>
      <xdr:col>10</xdr:col>
      <xdr:colOff>681463</xdr:colOff>
      <xdr:row>150</xdr:row>
      <xdr:rowOff>92926</xdr:rowOff>
    </xdr:from>
    <xdr:to>
      <xdr:col>19</xdr:col>
      <xdr:colOff>92926</xdr:colOff>
      <xdr:row>154</xdr:row>
      <xdr:rowOff>30975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5A9E342-DBBC-F146-8C75-46676A2ED547}"/>
            </a:ext>
          </a:extLst>
        </xdr:cNvPr>
        <xdr:cNvSpPr txBox="1"/>
      </xdr:nvSpPr>
      <xdr:spPr>
        <a:xfrm>
          <a:off x="10872439" y="31223414"/>
          <a:ext cx="6799146" cy="743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Figure 10. Species demographics</a:t>
          </a:r>
          <a:r>
            <a:rPr lang="en-US" sz="1800" baseline="0"/>
            <a:t> of patient visits.</a:t>
          </a:r>
          <a:endParaRPr lang="en-US" sz="1800"/>
        </a:p>
      </xdr:txBody>
    </xdr:sp>
    <xdr:clientData/>
  </xdr:twoCellAnchor>
  <xdr:twoCellAnchor>
    <xdr:from>
      <xdr:col>9</xdr:col>
      <xdr:colOff>216831</xdr:colOff>
      <xdr:row>154</xdr:row>
      <xdr:rowOff>185853</xdr:rowOff>
    </xdr:from>
    <xdr:to>
      <xdr:col>19</xdr:col>
      <xdr:colOff>170366</xdr:colOff>
      <xdr:row>184</xdr:row>
      <xdr:rowOff>30975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9391617-05F3-FE44-8990-A4B8CA670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11</xdr:col>
      <xdr:colOff>449147</xdr:colOff>
      <xdr:row>184</xdr:row>
      <xdr:rowOff>170365</xdr:rowOff>
    </xdr:from>
    <xdr:ext cx="3866828" cy="546112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399496B-8530-F342-BA28-F1AD006137B2}"/>
            </a:ext>
          </a:extLst>
        </xdr:cNvPr>
        <xdr:cNvSpPr txBox="1"/>
      </xdr:nvSpPr>
      <xdr:spPr>
        <a:xfrm>
          <a:off x="11460976" y="38146463"/>
          <a:ext cx="3866828" cy="546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/>
            <a:t>Figure 12. Reason for visit percentages.</a:t>
          </a:r>
        </a:p>
        <a:p>
          <a:endParaRPr lang="en-US" sz="1100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0.3641</cdr:x>
      <cdr:y>0.9004</cdr:y>
    </cdr:from>
    <cdr:to>
      <cdr:x>0.44872</cdr:x>
      <cdr:y>0.98406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65EE2E-E145-CA41-BAF9-517DAF360761}"/>
            </a:ext>
          </a:extLst>
        </cdr:cNvPr>
        <cdr:cNvSpPr txBox="1"/>
      </cdr:nvSpPr>
      <cdr:spPr>
        <a:xfrm xmlns:a="http://schemas.openxmlformats.org/drawingml/2006/main">
          <a:off x="1803400" y="2870200"/>
          <a:ext cx="4191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0.79828</cdr:x>
      <cdr:y>0.06007</cdr:y>
    </cdr:from>
    <cdr:to>
      <cdr:x>0.92586</cdr:x>
      <cdr:y>0.32155</cdr:y>
    </cdr:to>
    <cdr:sp macro="" textlink="">
      <cdr:nvSpPr>
        <cdr:cNvPr id="2" name="Summing Junction 1">
          <a:extLst xmlns:a="http://schemas.openxmlformats.org/drawingml/2006/main">
            <a:ext uri="{FF2B5EF4-FFF2-40B4-BE49-F238E27FC236}">
              <a16:creationId xmlns:a16="http://schemas.microsoft.com/office/drawing/2014/main" id="{F0A936C9-178D-5F46-8189-DF88687B477C}"/>
            </a:ext>
          </a:extLst>
        </cdr:cNvPr>
        <cdr:cNvSpPr/>
      </cdr:nvSpPr>
      <cdr:spPr>
        <a:xfrm xmlns:a="http://schemas.openxmlformats.org/drawingml/2006/main">
          <a:off x="5880100" y="215900"/>
          <a:ext cx="939800" cy="939800"/>
        </a:xfrm>
        <a:prstGeom xmlns:a="http://schemas.openxmlformats.org/drawingml/2006/main" prst="flowChartSummingJunction">
          <a:avLst/>
        </a:prstGeom>
        <a:solidFill xmlns:a="http://schemas.openxmlformats.org/drawingml/2006/main">
          <a:srgbClr val="FF0000"/>
        </a:solidFill>
        <a:ln xmlns:a="http://schemas.openxmlformats.org/drawingml/2006/main" w="571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0.73621</cdr:x>
      <cdr:y>0.34629</cdr:y>
    </cdr:from>
    <cdr:to>
      <cdr:x>0.98966</cdr:x>
      <cdr:y>0.75618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732F4B6-5F47-DC48-8551-78D6C0737BE5}"/>
            </a:ext>
          </a:extLst>
        </cdr:cNvPr>
        <cdr:cNvSpPr txBox="1"/>
      </cdr:nvSpPr>
      <cdr:spPr>
        <a:xfrm xmlns:a="http://schemas.openxmlformats.org/drawingml/2006/main">
          <a:off x="5422900" y="1244600"/>
          <a:ext cx="1866900" cy="147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 i="1">
              <a:effectLst/>
              <a:latin typeface="+mn-lt"/>
              <a:ea typeface="+mn-ea"/>
              <a:cs typeface="+mn-cs"/>
            </a:rPr>
            <a:t>These drugs should NOT be used, as they are reserved as last-line therapy for human infections. </a:t>
          </a:r>
          <a:endParaRPr lang="en-US" sz="1200" b="1"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tables/table1.xml><?xml version="1.0" encoding="utf-8"?>
<table xmlns="http://schemas.openxmlformats.org/spreadsheetml/2006/main" id="8" name="Total_Patients" displayName="Total_Patients" ref="B9:C22" totalsRowCount="1" headerRowDxfId="1566" dataDxfId="1564" totalsRowDxfId="1562" headerRowBorderDxfId="1565" tableBorderDxfId="1563" totalsRowBorderDxfId="1561">
  <autoFilter ref="B9:C21"/>
  <tableColumns count="2">
    <tableColumn id="1" name="Month" totalsRowLabel="Total" dataDxfId="1560" totalsRowDxfId="1559"/>
    <tableColumn id="2" name="Patients Seen per Month" totalsRowFunction="custom" dataDxfId="1558" totalsRowDxfId="1557">
      <totalsRowFormula>SUM(Total_Patients[Patients Seen per Month])</totalsRowFormula>
    </tableColumn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22" name="August" displayName="August" ref="A3:BI202" totalsRowCount="1" headerRowDxfId="732" dataDxfId="730" totalsRowDxfId="729" headerRowBorderDxfId="731">
  <autoFilter ref="A3:BI201"/>
  <tableColumns count="61">
    <tableColumn id="1" name="Date of Service" totalsRowLabel="Total" dataDxfId="728" totalsRowDxfId="727"/>
    <tableColumn id="3" name="Attending Clinician" dataDxfId="726" totalsRowDxfId="725"/>
    <tableColumn id="4" name="Patient Medical Record Number" dataDxfId="724" totalsRowDxfId="723"/>
    <tableColumn id="5" name="Patient Species" dataDxfId="722" totalsRowDxfId="721"/>
    <tableColumn id="6" name="Patient Sex" dataDxfId="720" totalsRowDxfId="719"/>
    <tableColumn id="7" name="Patient Age" dataDxfId="718" totalsRowDxfId="717"/>
    <tableColumn id="8" name="Reason for Visit" dataDxfId="716" totalsRowDxfId="715"/>
    <tableColumn id="9" name="If Other Reason for Visit Explain" dataDxfId="714" totalsRowDxfId="713"/>
    <tableColumn id="10" name="Patient Prescribed Antibiotic (Y/N/WW)" dataDxfId="712" totalsRowDxfId="711"/>
    <tableColumn id="11" name="Total Number of Antibiotics Prescribed for Patient" dataDxfId="710" totalsRowDxfId="709"/>
    <tableColumn id="13" name="Disease/Infection Type" dataDxfId="708" totalsRowDxfId="707"/>
    <tableColumn id="14" name="If Other Disease/Infection Type Explain" dataDxfId="706" totalsRowDxfId="705"/>
    <tableColumn id="16" name="Number of Antibiotics Prescribed for this Condition " dataDxfId="704" totalsRowDxfId="703"/>
    <tableColumn id="17" name="Diagnostics Offered for Infectious Condition (Y/N)" dataDxfId="702" totalsRowDxfId="701"/>
    <tableColumn id="18" name="Diagnostic Performed for Infectious Condition (Y/N)" dataDxfId="700" totalsRowDxfId="699"/>
    <tableColumn id="23" name="Drug Name" dataDxfId="698" totalsRowDxfId="697"/>
    <tableColumn id="24" name="Drug Class" dataDxfId="696" totalsRowDxfId="695">
      <calculatedColumnFormula>IFERROR(VLOOKUP(August[[#This Row],[Drug Name]],'Data Options'!$R$1:$S$100,2,FALSE), " ")</calculatedColumnFormula>
    </tableColumn>
    <tableColumn id="26" name="Frequency" dataDxfId="694" totalsRowDxfId="693"/>
    <tableColumn id="27" name="Route" dataDxfId="692" totalsRowDxfId="691"/>
    <tableColumn id="31" name="Drug Name2" dataDxfId="690" totalsRowDxfId="689"/>
    <tableColumn id="32" name="Drug Class2" dataDxfId="688" totalsRowDxfId="687">
      <calculatedColumnFormula>IFERROR(VLOOKUP(August[[#This Row],[Drug Name2]],'Data Options'!$R$1:$S$100,2,FALSE), " ")</calculatedColumnFormula>
    </tableColumn>
    <tableColumn id="34" name="Frequency2" dataDxfId="686" totalsRowDxfId="685"/>
    <tableColumn id="35" name="Route2" dataDxfId="684" totalsRowDxfId="683"/>
    <tableColumn id="39" name="Drug Name3" dataDxfId="682" totalsRowDxfId="681"/>
    <tableColumn id="40" name="Drug Class3" dataDxfId="680" totalsRowDxfId="679">
      <calculatedColumnFormula>IFERROR(VLOOKUP(August[[#This Row],[Drug Name3]],'Data Options'!$R$1:$S$100,2,FALSE), " ")</calculatedColumnFormula>
    </tableColumn>
    <tableColumn id="42" name="Frequency3" dataDxfId="678" totalsRowDxfId="677"/>
    <tableColumn id="43" name="Route3" dataDxfId="676" totalsRowDxfId="675"/>
    <tableColumn id="47" name="Disease/Infection Type2" dataDxfId="674" totalsRowDxfId="673"/>
    <tableColumn id="48" name="If Other Disease/Infection Type Explain2" dataDxfId="672" totalsRowDxfId="671"/>
    <tableColumn id="50" name="Number of Antibiotics Prescribed for this Condition2" dataDxfId="670" totalsRowDxfId="669"/>
    <tableColumn id="51" name="Diagnostics Offered for Infectious Condition (Y/N)2" dataDxfId="668" totalsRowDxfId="667"/>
    <tableColumn id="52" name="Diagnostic Performed for Infectious Condition (Y/N)2" dataDxfId="666" totalsRowDxfId="665"/>
    <tableColumn id="57" name="Drug Name4" dataDxfId="664" totalsRowDxfId="663"/>
    <tableColumn id="58" name="Drug Class4" dataDxfId="662" totalsRowDxfId="661">
      <calculatedColumnFormula>IFERROR(VLOOKUP(August[[#This Row],[Drug Name4]],'Data Options'!$R$1:$S$100,2,FALSE), " ")</calculatedColumnFormula>
    </tableColumn>
    <tableColumn id="60" name="Frequency4" dataDxfId="660" totalsRowDxfId="659"/>
    <tableColumn id="61" name="Route4" dataDxfId="658" totalsRowDxfId="657"/>
    <tableColumn id="65" name="Drug Name5" dataDxfId="656" totalsRowDxfId="655"/>
    <tableColumn id="66" name="Drug Class5" dataDxfId="654" totalsRowDxfId="653">
      <calculatedColumnFormula>IFERROR(VLOOKUP(August[[#This Row],[Drug Name5]],'Data Options'!$R$1:$S$100,2,FALSE), " ")</calculatedColumnFormula>
    </tableColumn>
    <tableColumn id="68" name="Frequency5" dataDxfId="652" totalsRowDxfId="651"/>
    <tableColumn id="69" name="Route5" dataDxfId="650" totalsRowDxfId="649"/>
    <tableColumn id="73" name="Drug Name6" dataDxfId="648" totalsRowDxfId="647"/>
    <tableColumn id="74" name="Drug Class6" dataDxfId="646" totalsRowDxfId="645">
      <calculatedColumnFormula>IFERROR(VLOOKUP(August[[#This Row],[Drug Name6]],'Data Options'!$R$1:$S$100,2,FALSE), " ")</calculatedColumnFormula>
    </tableColumn>
    <tableColumn id="76" name="Frequency6" dataDxfId="644" totalsRowDxfId="643"/>
    <tableColumn id="77" name="Route6" dataDxfId="642" totalsRowDxfId="641"/>
    <tableColumn id="81" name="Disease/Infection Type3" dataDxfId="640" totalsRowDxfId="639"/>
    <tableColumn id="82" name="If Other Disease/Infection Type Explain3" dataDxfId="638" totalsRowDxfId="637"/>
    <tableColumn id="84" name="Number of Antibiotics Prescribed for this Condition3" dataDxfId="636" totalsRowDxfId="635"/>
    <tableColumn id="85" name="Diagnostics Offered for Infectious Condition (Y/N)3" dataDxfId="634" totalsRowDxfId="633"/>
    <tableColumn id="86" name="Diagnostic Performed for Infectious Condition (Y/N)3" dataDxfId="632" totalsRowDxfId="631"/>
    <tableColumn id="91" name="Drug Name7" dataDxfId="630" totalsRowDxfId="629"/>
    <tableColumn id="92" name="Drug Class7" dataDxfId="628" totalsRowDxfId="627">
      <calculatedColumnFormula>IFERROR(VLOOKUP(August[[#This Row],[Drug Name7]],'Data Options'!$R$1:$S$100,2,FALSE), " ")</calculatedColumnFormula>
    </tableColumn>
    <tableColumn id="94" name="Frequency7" dataDxfId="626" totalsRowDxfId="625"/>
    <tableColumn id="95" name="Route7" dataDxfId="624" totalsRowDxfId="623"/>
    <tableColumn id="99" name="Drug Name8" dataDxfId="622" totalsRowDxfId="621"/>
    <tableColumn id="100" name="Drug Class8" dataDxfId="620" totalsRowDxfId="619">
      <calculatedColumnFormula>IFERROR(VLOOKUP(August[[#This Row],[Drug Name8]],'Data Options'!$R$1:$S$100,2,FALSE), " ")</calculatedColumnFormula>
    </tableColumn>
    <tableColumn id="102" name="Frequency8" dataDxfId="618" totalsRowDxfId="617"/>
    <tableColumn id="103" name="Route8" dataDxfId="616" totalsRowDxfId="615"/>
    <tableColumn id="107" name="Drug Name9" dataDxfId="614" totalsRowDxfId="613"/>
    <tableColumn id="108" name="Drug Class9" dataDxfId="612" totalsRowDxfId="611">
      <calculatedColumnFormula>IFERROR(VLOOKUP(August[[#This Row],[Drug Name9]],'Data Options'!$R$1:$S$100,2,FALSE), " ")</calculatedColumnFormula>
    </tableColumn>
    <tableColumn id="110" name="Frequency9" dataDxfId="610" totalsRowDxfId="609"/>
    <tableColumn id="111" name="Route9" dataDxfId="608" totalsRowDxfId="607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id="23" name="September" displayName="September" ref="A3:BI202" totalsRowCount="1" headerRowDxfId="606" dataDxfId="604" totalsRowDxfId="603" headerRowBorderDxfId="605">
  <autoFilter ref="A3:BI201"/>
  <tableColumns count="61">
    <tableColumn id="1" name="Date of Service" totalsRowLabel="Total" dataDxfId="602" totalsRowDxfId="601"/>
    <tableColumn id="3" name="Attending Clinician" dataDxfId="600" totalsRowDxfId="599"/>
    <tableColumn id="4" name="Patient Medical Record Number" dataDxfId="598" totalsRowDxfId="597"/>
    <tableColumn id="5" name="Patient Species" dataDxfId="596" totalsRowDxfId="595"/>
    <tableColumn id="6" name="Patient Sex" dataDxfId="594" totalsRowDxfId="593"/>
    <tableColumn id="7" name="Patient Age" dataDxfId="592" totalsRowDxfId="591"/>
    <tableColumn id="8" name="Reason for Visit" dataDxfId="590" totalsRowDxfId="589"/>
    <tableColumn id="9" name="If Other Reason for Visit Explain" dataDxfId="588" totalsRowDxfId="587"/>
    <tableColumn id="10" name="Patient Prescribed Antibiotic (Y/N/WW)" dataDxfId="586" totalsRowDxfId="585"/>
    <tableColumn id="11" name="Total Number of Antibiotics Prescribed for Patient" dataDxfId="584" totalsRowDxfId="583"/>
    <tableColumn id="13" name="Disease/Infection Type" dataDxfId="582" totalsRowDxfId="581"/>
    <tableColumn id="14" name="If Other Disease/Infection Type Explain" dataDxfId="580" totalsRowDxfId="579"/>
    <tableColumn id="16" name="Number of Antibiotics Prescribed for this Condition " dataDxfId="578" totalsRowDxfId="577"/>
    <tableColumn id="17" name="Diagnostics Offered for Infectious Condition (Y/N)" dataDxfId="576" totalsRowDxfId="575"/>
    <tableColumn id="18" name="Diagnostic Performed for Infectious Condition (Y/N)" dataDxfId="574" totalsRowDxfId="573"/>
    <tableColumn id="23" name="Drug Name" dataDxfId="572" totalsRowDxfId="571"/>
    <tableColumn id="24" name="Drug Class" dataDxfId="570" totalsRowDxfId="569">
      <calculatedColumnFormula>IFERROR(VLOOKUP(September[[#This Row],[Drug Name]],'Data Options'!$R$1:$S$100,2,FALSE), " ")</calculatedColumnFormula>
    </tableColumn>
    <tableColumn id="26" name="Frequency" dataDxfId="568" totalsRowDxfId="567"/>
    <tableColumn id="27" name="Route" dataDxfId="566" totalsRowDxfId="565"/>
    <tableColumn id="31" name="Drug Name2" dataDxfId="564" totalsRowDxfId="563"/>
    <tableColumn id="32" name="Drug Class2" dataDxfId="562" totalsRowDxfId="561">
      <calculatedColumnFormula>IFERROR(VLOOKUP(September[[#This Row],[Drug Name2]],'Data Options'!$R$1:$S$100,2,FALSE), " ")</calculatedColumnFormula>
    </tableColumn>
    <tableColumn id="34" name="Frequency2" dataDxfId="560" totalsRowDxfId="559"/>
    <tableColumn id="35" name="Route2" dataDxfId="558" totalsRowDxfId="557"/>
    <tableColumn id="39" name="Drug Name3" dataDxfId="556" totalsRowDxfId="555"/>
    <tableColumn id="40" name="Drug Class3" dataDxfId="554" totalsRowDxfId="553">
      <calculatedColumnFormula>IFERROR(VLOOKUP(September[[#This Row],[Drug Name3]],'Data Options'!$R$1:$S$100,2,FALSE), " ")</calculatedColumnFormula>
    </tableColumn>
    <tableColumn id="42" name="Frequency3" dataDxfId="552" totalsRowDxfId="551"/>
    <tableColumn id="43" name="Route3" dataDxfId="550" totalsRowDxfId="549"/>
    <tableColumn id="47" name="Disease/Infection Type2" dataDxfId="548" totalsRowDxfId="547"/>
    <tableColumn id="48" name="If Other Disease/Infection Type Explain2" dataDxfId="546" totalsRowDxfId="545"/>
    <tableColumn id="50" name="Number of Antibiotics Prescribed for this Condition2" dataDxfId="544" totalsRowDxfId="543"/>
    <tableColumn id="51" name="Diagnostics Offered for Infectious Condition (Y/N)2" dataDxfId="542" totalsRowDxfId="541"/>
    <tableColumn id="52" name="Diagnostic Performed for Infectious Condition (Y/N)2" dataDxfId="540" totalsRowDxfId="539"/>
    <tableColumn id="57" name="Drug Name4" dataDxfId="538" totalsRowDxfId="537"/>
    <tableColumn id="58" name="Drug Class4" dataDxfId="536" totalsRowDxfId="535">
      <calculatedColumnFormula>IFERROR(VLOOKUP(September[[#This Row],[Drug Name4]],'Data Options'!$R$1:$S$100,2,FALSE), " ")</calculatedColumnFormula>
    </tableColumn>
    <tableColumn id="60" name="Frequency4" dataDxfId="534" totalsRowDxfId="533"/>
    <tableColumn id="61" name="Route4" dataDxfId="532" totalsRowDxfId="531"/>
    <tableColumn id="65" name="Drug Name5" dataDxfId="530" totalsRowDxfId="529"/>
    <tableColumn id="66" name="Drug Class5" dataDxfId="528" totalsRowDxfId="527">
      <calculatedColumnFormula>IFERROR(VLOOKUP(September[[#This Row],[Drug Name5]],'Data Options'!$R$1:$S$100,2,FALSE), " ")</calculatedColumnFormula>
    </tableColumn>
    <tableColumn id="68" name="Frequency5" dataDxfId="526" totalsRowDxfId="525"/>
    <tableColumn id="69" name="Route5" dataDxfId="524" totalsRowDxfId="523"/>
    <tableColumn id="73" name="Drug Name6" dataDxfId="522" totalsRowDxfId="521"/>
    <tableColumn id="74" name="Drug Class6" dataDxfId="520" totalsRowDxfId="519">
      <calculatedColumnFormula>IFERROR(VLOOKUP(September[[#This Row],[Drug Name6]],'Data Options'!$R$1:$S$100,2,FALSE), " ")</calculatedColumnFormula>
    </tableColumn>
    <tableColumn id="76" name="Frequency6" dataDxfId="518" totalsRowDxfId="517"/>
    <tableColumn id="77" name="Route6" dataDxfId="516" totalsRowDxfId="515"/>
    <tableColumn id="81" name="Disease/Infection Type3" dataDxfId="514" totalsRowDxfId="513"/>
    <tableColumn id="82" name="If Other Disease/Infection Type Explain3" dataDxfId="512" totalsRowDxfId="511"/>
    <tableColumn id="84" name="Number of Antibiotics Prescribed for this Condition3" dataDxfId="510" totalsRowDxfId="509"/>
    <tableColumn id="85" name="Diagnostics Offered for Infectious Condition (Y/N)3" dataDxfId="508" totalsRowDxfId="507"/>
    <tableColumn id="86" name="Diagnostic Performed for Infectious Condition (Y/N)3" dataDxfId="506" totalsRowDxfId="505"/>
    <tableColumn id="91" name="Drug Name7" dataDxfId="504" totalsRowDxfId="503"/>
    <tableColumn id="92" name="Drug Class7" dataDxfId="502" totalsRowDxfId="501">
      <calculatedColumnFormula>IFERROR(VLOOKUP(September[[#This Row],[Drug Name7]],'Data Options'!$R$1:$S$100,2,FALSE), " ")</calculatedColumnFormula>
    </tableColumn>
    <tableColumn id="94" name="Frequency7" dataDxfId="500" totalsRowDxfId="499"/>
    <tableColumn id="95" name="Route7" dataDxfId="498" totalsRowDxfId="497"/>
    <tableColumn id="99" name="Drug Name8" dataDxfId="496" totalsRowDxfId="495"/>
    <tableColumn id="100" name="Drug Class8" dataDxfId="494" totalsRowDxfId="493">
      <calculatedColumnFormula>IFERROR(VLOOKUP(September[[#This Row],[Drug Name8]],'Data Options'!$R$1:$S$100,2,FALSE), " ")</calculatedColumnFormula>
    </tableColumn>
    <tableColumn id="102" name="Frequency8" dataDxfId="492" totalsRowDxfId="491"/>
    <tableColumn id="103" name="Route8" dataDxfId="490" totalsRowDxfId="489"/>
    <tableColumn id="107" name="Drug Name9" dataDxfId="488" totalsRowDxfId="487"/>
    <tableColumn id="108" name="Drug Class9" dataDxfId="486" totalsRowDxfId="485">
      <calculatedColumnFormula>IFERROR(VLOOKUP(September[[#This Row],[Drug Name9]],'Data Options'!$R$1:$S$100,2,FALSE), " ")</calculatedColumnFormula>
    </tableColumn>
    <tableColumn id="110" name="Frequency9" dataDxfId="484" totalsRowDxfId="483"/>
    <tableColumn id="111" name="Route9" dataDxfId="482" totalsRowDxfId="481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id="24" name="October" displayName="October" ref="A3:BI202" totalsRowCount="1" headerRowDxfId="480" dataDxfId="478" totalsRowDxfId="477" headerRowBorderDxfId="479">
  <autoFilter ref="A3:BI201"/>
  <tableColumns count="61">
    <tableColumn id="1" name="Date of Service" totalsRowLabel="Total" dataDxfId="476" totalsRowDxfId="475"/>
    <tableColumn id="3" name="Attending Clinician" dataDxfId="474" totalsRowDxfId="473"/>
    <tableColumn id="4" name="Patient Medical Record Number" dataDxfId="472" totalsRowDxfId="471"/>
    <tableColumn id="5" name="Patient Species" dataDxfId="470" totalsRowDxfId="469"/>
    <tableColumn id="6" name="Patient Sex" dataDxfId="468" totalsRowDxfId="467"/>
    <tableColumn id="7" name="Patient Age" dataDxfId="466" totalsRowDxfId="465"/>
    <tableColumn id="8" name="Reason for Visit" dataDxfId="464" totalsRowDxfId="463"/>
    <tableColumn id="9" name="If Other Reason for Visit Explain" dataDxfId="462" totalsRowDxfId="461"/>
    <tableColumn id="10" name="Patient Prescribed Antibiotic (Y/N/WW)" dataDxfId="460" totalsRowDxfId="459"/>
    <tableColumn id="11" name="Total Number of Antibiotics Prescribed for Patient" dataDxfId="458" totalsRowDxfId="457"/>
    <tableColumn id="13" name="Disease/Infection Type" dataDxfId="456" totalsRowDxfId="455"/>
    <tableColumn id="14" name="If Other Disease/Infection Type Explain" dataDxfId="454" totalsRowDxfId="453"/>
    <tableColumn id="16" name="Number of Antibiotics Prescribed for this Condition " dataDxfId="452" totalsRowDxfId="451"/>
    <tableColumn id="17" name="Diagnostics Offered for Infectious Condition (Y/N)" dataDxfId="450" totalsRowDxfId="449"/>
    <tableColumn id="18" name="Diagnostic Performed for Infectious Condition (Y/N)" dataDxfId="448" totalsRowDxfId="447"/>
    <tableColumn id="23" name="Drug Name" dataDxfId="446" totalsRowDxfId="445"/>
    <tableColumn id="24" name="Drug Class" dataDxfId="444" totalsRowDxfId="443">
      <calculatedColumnFormula>IFERROR(VLOOKUP(October[[#This Row],[Drug Name]],'Data Options'!$R$1:$S$100,2,FALSE), " ")</calculatedColumnFormula>
    </tableColumn>
    <tableColumn id="26" name="Frequency" dataDxfId="442" totalsRowDxfId="441"/>
    <tableColumn id="27" name="Route" dataDxfId="440" totalsRowDxfId="439"/>
    <tableColumn id="31" name="Drug Name2" dataDxfId="438" totalsRowDxfId="437"/>
    <tableColumn id="32" name="Drug Class2" dataDxfId="436" totalsRowDxfId="435">
      <calculatedColumnFormula>IFERROR(VLOOKUP(October[[#This Row],[Drug Name2]],'Data Options'!$R$1:$S$100,2,FALSE), " ")</calculatedColumnFormula>
    </tableColumn>
    <tableColumn id="34" name="Frequency2" dataDxfId="434" totalsRowDxfId="433"/>
    <tableColumn id="35" name="Route2" dataDxfId="432" totalsRowDxfId="431"/>
    <tableColumn id="39" name="Drug Name3" dataDxfId="430" totalsRowDxfId="429"/>
    <tableColumn id="40" name="Drug Class3" dataDxfId="428" totalsRowDxfId="427">
      <calculatedColumnFormula>IFERROR(VLOOKUP(October[[#This Row],[Drug Name3]],'Data Options'!$R$1:$S$100,2,FALSE), " ")</calculatedColumnFormula>
    </tableColumn>
    <tableColumn id="42" name="Frequency3" dataDxfId="426" totalsRowDxfId="425"/>
    <tableColumn id="43" name="Route3" dataDxfId="424" totalsRowDxfId="423"/>
    <tableColumn id="47" name="Disease/Infection Type2" dataDxfId="422" totalsRowDxfId="421"/>
    <tableColumn id="48" name="If Other Disease/Infection Type Explain2" dataDxfId="420" totalsRowDxfId="419"/>
    <tableColumn id="50" name="Number of Antibiotics Prescribed for this Condition2" dataDxfId="418" totalsRowDxfId="417"/>
    <tableColumn id="51" name="Diagnostics Offered for Infectious Condition (Y/N)2" dataDxfId="416" totalsRowDxfId="415"/>
    <tableColumn id="52" name="Diagnostic Performed for Infectious Condition (Y/N)2" dataDxfId="414" totalsRowDxfId="413"/>
    <tableColumn id="57" name="Drug Name4" dataDxfId="412" totalsRowDxfId="411"/>
    <tableColumn id="58" name="Drug Class4" dataDxfId="410" totalsRowDxfId="409">
      <calculatedColumnFormula>IFERROR(VLOOKUP(October[[#This Row],[Drug Name4]],'Data Options'!$R$1:$S$100,2,FALSE), " ")</calculatedColumnFormula>
    </tableColumn>
    <tableColumn id="60" name="Frequency4" dataDxfId="408" totalsRowDxfId="407"/>
    <tableColumn id="61" name="Route4" dataDxfId="406" totalsRowDxfId="405"/>
    <tableColumn id="65" name="Drug Name5" dataDxfId="404" totalsRowDxfId="403"/>
    <tableColumn id="66" name="Drug Class5" dataDxfId="402" totalsRowDxfId="401">
      <calculatedColumnFormula>IFERROR(VLOOKUP(October[[#This Row],[Drug Name5]],'Data Options'!$R$1:$S$100,2,FALSE), " ")</calculatedColumnFormula>
    </tableColumn>
    <tableColumn id="68" name="Frequency5" dataDxfId="400" totalsRowDxfId="399"/>
    <tableColumn id="69" name="Route5" dataDxfId="398" totalsRowDxfId="397"/>
    <tableColumn id="73" name="Drug Name6" dataDxfId="396" totalsRowDxfId="395"/>
    <tableColumn id="74" name="Drug Class6" dataDxfId="394" totalsRowDxfId="393">
      <calculatedColumnFormula>IFERROR(VLOOKUP(October[[#This Row],[Drug Name6]],'Data Options'!$R$1:$S$100,2,FALSE), " ")</calculatedColumnFormula>
    </tableColumn>
    <tableColumn id="76" name="Frequency6" dataDxfId="392" totalsRowDxfId="391"/>
    <tableColumn id="77" name="Route6" dataDxfId="390" totalsRowDxfId="389"/>
    <tableColumn id="81" name="Disease/Infection Type3" dataDxfId="388" totalsRowDxfId="387"/>
    <tableColumn id="82" name="If Other Disease/Infection Type Explain3" dataDxfId="386" totalsRowDxfId="385"/>
    <tableColumn id="84" name="Number of Antibiotics Prescribed for this Condition3" dataDxfId="384" totalsRowDxfId="383"/>
    <tableColumn id="85" name="Diagnostics Offered for Infectious Condition (Y/N)3" dataDxfId="382" totalsRowDxfId="381"/>
    <tableColumn id="86" name="Diagnostic Performed for Infectious Condition (Y/N)3" dataDxfId="380" totalsRowDxfId="379"/>
    <tableColumn id="91" name="Drug Name7" dataDxfId="378" totalsRowDxfId="377"/>
    <tableColumn id="92" name="Drug Class7" dataDxfId="376" totalsRowDxfId="375">
      <calculatedColumnFormula>IFERROR(VLOOKUP(October[[#This Row],[Drug Name7]],'Data Options'!$R$1:$S$100,2,FALSE), " ")</calculatedColumnFormula>
    </tableColumn>
    <tableColumn id="94" name="Frequency7" dataDxfId="374" totalsRowDxfId="373"/>
    <tableColumn id="95" name="Route7" dataDxfId="372" totalsRowDxfId="371"/>
    <tableColumn id="99" name="Drug Name8" dataDxfId="370" totalsRowDxfId="369"/>
    <tableColumn id="100" name="Drug Class8" dataDxfId="368" totalsRowDxfId="367">
      <calculatedColumnFormula>IFERROR(VLOOKUP(October[[#This Row],[Drug Name8]],'Data Options'!$R$1:$S$100,2,FALSE), " ")</calculatedColumnFormula>
    </tableColumn>
    <tableColumn id="102" name="Frequency8" dataDxfId="366" totalsRowDxfId="365"/>
    <tableColumn id="103" name="Route8" dataDxfId="364" totalsRowDxfId="363"/>
    <tableColumn id="107" name="Drug Name9" dataDxfId="362" totalsRowDxfId="361"/>
    <tableColumn id="108" name="Drug Class9" dataDxfId="360" totalsRowDxfId="359">
      <calculatedColumnFormula>IFERROR(VLOOKUP(October[[#This Row],[Drug Name9]],'Data Options'!$R$1:$S$100,2,FALSE), " ")</calculatedColumnFormula>
    </tableColumn>
    <tableColumn id="110" name="Frequency9" dataDxfId="358" totalsRowDxfId="357"/>
    <tableColumn id="111" name="Route9" dataDxfId="356" totalsRowDxfId="355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id="36" name="November" displayName="November" ref="A3:BI202" totalsRowCount="1" headerRowDxfId="354" dataDxfId="352" totalsRowDxfId="351" headerRowBorderDxfId="353">
  <autoFilter ref="A3:BI201"/>
  <tableColumns count="61">
    <tableColumn id="1" name="Date of Service" totalsRowLabel="Total" dataDxfId="350" totalsRowDxfId="349"/>
    <tableColumn id="3" name="Attending Clinician" dataDxfId="348" totalsRowDxfId="347"/>
    <tableColumn id="4" name="Patient Medical Record Number" dataDxfId="346" totalsRowDxfId="345"/>
    <tableColumn id="5" name="Patient Species" dataDxfId="344" totalsRowDxfId="343"/>
    <tableColumn id="6" name="Patient Sex" dataDxfId="342" totalsRowDxfId="341"/>
    <tableColumn id="7" name="Patient Age" dataDxfId="340" totalsRowDxfId="339"/>
    <tableColumn id="8" name="Reason for Visit" dataDxfId="338" totalsRowDxfId="337"/>
    <tableColumn id="9" name="If Other Reason for Visit Explain" dataDxfId="336" totalsRowDxfId="335"/>
    <tableColumn id="10" name="Patient Prescribed Antibiotic (Y/N/WW)" dataDxfId="334" totalsRowDxfId="333"/>
    <tableColumn id="11" name="Total Number of Antibiotics Prescribed for Patient" dataDxfId="332" totalsRowDxfId="331"/>
    <tableColumn id="13" name="Disease/Infection Type" dataDxfId="330" totalsRowDxfId="329"/>
    <tableColumn id="14" name="If Other Disease/Infection Type Explain" dataDxfId="328" totalsRowDxfId="327"/>
    <tableColumn id="16" name="Number of Antibiotics Prescribed for this Condition " dataDxfId="326" totalsRowDxfId="325"/>
    <tableColumn id="17" name="Diagnostics Offered for Infectious Condition (Y/N)" dataDxfId="324" totalsRowDxfId="323"/>
    <tableColumn id="18" name="Diagnostic Performed for Infectious Condition (Y/N)" dataDxfId="322" totalsRowDxfId="321"/>
    <tableColumn id="23" name="Drug Name" dataDxfId="320" totalsRowDxfId="319"/>
    <tableColumn id="24" name="Drug Class" dataDxfId="318" totalsRowDxfId="317">
      <calculatedColumnFormula>IFERROR(VLOOKUP(November[[#This Row],[Drug Name]],'Data Options'!$R$1:$S$100,2,FALSE), " ")</calculatedColumnFormula>
    </tableColumn>
    <tableColumn id="26" name="Frequency" dataDxfId="316" totalsRowDxfId="315"/>
    <tableColumn id="27" name="Route" dataDxfId="314" totalsRowDxfId="313"/>
    <tableColumn id="31" name="Drug Name2" dataDxfId="312" totalsRowDxfId="311"/>
    <tableColumn id="32" name="Drug Class2" dataDxfId="310" totalsRowDxfId="309">
      <calculatedColumnFormula>IFERROR(VLOOKUP(November[[#This Row],[Drug Name2]],'Data Options'!$R$1:$S$100,2,FALSE), " ")</calculatedColumnFormula>
    </tableColumn>
    <tableColumn id="34" name="Frequency2" dataDxfId="308" totalsRowDxfId="307"/>
    <tableColumn id="35" name="Route2" dataDxfId="306" totalsRowDxfId="305"/>
    <tableColumn id="39" name="Drug Name3" dataDxfId="304" totalsRowDxfId="303"/>
    <tableColumn id="40" name="Drug Class3" dataDxfId="302" totalsRowDxfId="301">
      <calculatedColumnFormula>IFERROR(VLOOKUP(November[[#This Row],[Drug Name3]],'Data Options'!$R$1:$S$100,2,FALSE), " ")</calculatedColumnFormula>
    </tableColumn>
    <tableColumn id="42" name="Frequency3" dataDxfId="300" totalsRowDxfId="299"/>
    <tableColumn id="43" name="Route3" dataDxfId="298" totalsRowDxfId="297"/>
    <tableColumn id="47" name="Disease/Infection Type2" dataDxfId="296" totalsRowDxfId="295"/>
    <tableColumn id="48" name="If Other Disease/Infection Type Explain2" dataDxfId="294" totalsRowDxfId="293"/>
    <tableColumn id="50" name="Number of Antibiotics Prescribed for this Condition2" dataDxfId="292" totalsRowDxfId="291"/>
    <tableColumn id="51" name="Diagnostics Offered for Infectious Condition (Y/N)2" dataDxfId="290" totalsRowDxfId="289"/>
    <tableColumn id="52" name="Diagnostic Performed for Infectious Condition (Y/N)2" dataDxfId="288" totalsRowDxfId="287"/>
    <tableColumn id="57" name="Drug Name4" dataDxfId="286" totalsRowDxfId="285"/>
    <tableColumn id="58" name="Drug Class4" dataDxfId="284" totalsRowDxfId="283">
      <calculatedColumnFormula>IFERROR(VLOOKUP(November[[#This Row],[Drug Name4]],'Data Options'!$R$1:$S$100,2,FALSE), " ")</calculatedColumnFormula>
    </tableColumn>
    <tableColumn id="60" name="Frequency4" dataDxfId="282" totalsRowDxfId="281"/>
    <tableColumn id="61" name="Route4" dataDxfId="280" totalsRowDxfId="279"/>
    <tableColumn id="65" name="Drug Name5" dataDxfId="278" totalsRowDxfId="277"/>
    <tableColumn id="66" name="Drug Class5" dataDxfId="276" totalsRowDxfId="275">
      <calculatedColumnFormula>IFERROR(VLOOKUP(November[[#This Row],[Drug Name5]],'Data Options'!$R$1:$S$100,2,FALSE), " ")</calculatedColumnFormula>
    </tableColumn>
    <tableColumn id="68" name="Frequency5" dataDxfId="274" totalsRowDxfId="273"/>
    <tableColumn id="69" name="Route5" dataDxfId="272" totalsRowDxfId="271"/>
    <tableColumn id="73" name="Drug Name6" dataDxfId="270" totalsRowDxfId="269"/>
    <tableColumn id="74" name="Drug Class6" dataDxfId="268" totalsRowDxfId="267">
      <calculatedColumnFormula>IFERROR(VLOOKUP(November[[#This Row],[Drug Name6]],'Data Options'!$R$1:$S$100,2,FALSE), " ")</calculatedColumnFormula>
    </tableColumn>
    <tableColumn id="76" name="Frequency6" dataDxfId="266" totalsRowDxfId="265"/>
    <tableColumn id="77" name="Route6" dataDxfId="264" totalsRowDxfId="263"/>
    <tableColumn id="81" name="Disease/Infection Type3" dataDxfId="262" totalsRowDxfId="261"/>
    <tableColumn id="82" name="If Other Disease/Infection Type Explain3" dataDxfId="260" totalsRowDxfId="259"/>
    <tableColumn id="84" name="Number of Antibiotics Prescribed for this Condition3" dataDxfId="258" totalsRowDxfId="257"/>
    <tableColumn id="85" name="Diagnostics Offered for Infectious Condition (Y/N)3" dataDxfId="256" totalsRowDxfId="255"/>
    <tableColumn id="86" name="Diagnostic Performed for Infectious Condition (Y/N)3" dataDxfId="254" totalsRowDxfId="253"/>
    <tableColumn id="91" name="Drug Name7" dataDxfId="252" totalsRowDxfId="251"/>
    <tableColumn id="92" name="Drug Class7" dataDxfId="250" totalsRowDxfId="249">
      <calculatedColumnFormula>IFERROR(VLOOKUP(November[[#This Row],[Drug Name7]],'Data Options'!$R$1:$S$100,2,FALSE), " ")</calculatedColumnFormula>
    </tableColumn>
    <tableColumn id="94" name="Frequency7" dataDxfId="248" totalsRowDxfId="247"/>
    <tableColumn id="95" name="Route7" dataDxfId="246" totalsRowDxfId="245"/>
    <tableColumn id="99" name="Drug Name8" dataDxfId="244" totalsRowDxfId="243"/>
    <tableColumn id="100" name="Drug Class8" dataDxfId="242" totalsRowDxfId="241">
      <calculatedColumnFormula>IFERROR(VLOOKUP(November[[#This Row],[Drug Name8]],'Data Options'!$R$1:$S$100,2,FALSE), " ")</calculatedColumnFormula>
    </tableColumn>
    <tableColumn id="102" name="Frequency8" dataDxfId="240" totalsRowDxfId="239"/>
    <tableColumn id="103" name="Route8" dataDxfId="238" totalsRowDxfId="237"/>
    <tableColumn id="107" name="Drug Name9" dataDxfId="236" totalsRowDxfId="235"/>
    <tableColumn id="108" name="Drug Class9" dataDxfId="234" totalsRowDxfId="233">
      <calculatedColumnFormula>IFERROR(VLOOKUP(November[[#This Row],[Drug Name9]],'Data Options'!$R$1:$S$100,2,FALSE), " ")</calculatedColumnFormula>
    </tableColumn>
    <tableColumn id="110" name="Frequency9" dataDxfId="232" totalsRowDxfId="231"/>
    <tableColumn id="111" name="Route9" dataDxfId="230" totalsRowDxfId="229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id="37" name="December" displayName="December" ref="A3:BI202" totalsRowCount="1" headerRowDxfId="228" dataDxfId="226" totalsRowDxfId="225" headerRowBorderDxfId="227">
  <autoFilter ref="A3:BI201"/>
  <tableColumns count="61">
    <tableColumn id="1" name="Date of Service" totalsRowLabel="Total" dataDxfId="224" totalsRowDxfId="223"/>
    <tableColumn id="3" name="Attending Clinician" dataDxfId="222" totalsRowDxfId="221"/>
    <tableColumn id="4" name="Patient Medical Record Number" dataDxfId="220" totalsRowDxfId="219"/>
    <tableColumn id="5" name="Patient Species" dataDxfId="218" totalsRowDxfId="217"/>
    <tableColumn id="6" name="Patient Sex" dataDxfId="216" totalsRowDxfId="215"/>
    <tableColumn id="7" name="Patient Age" dataDxfId="214" totalsRowDxfId="213"/>
    <tableColumn id="8" name="Reason for Visit" dataDxfId="212" totalsRowDxfId="211"/>
    <tableColumn id="9" name="If Other Reason for Visit Explain" dataDxfId="210" totalsRowDxfId="209"/>
    <tableColumn id="10" name="Patient Prescribed Antibiotic (Y/N/WW)" dataDxfId="208" totalsRowDxfId="207"/>
    <tableColumn id="11" name="Total Number of Antibiotics Prescribed for Patient" dataDxfId="206" totalsRowDxfId="205"/>
    <tableColumn id="13" name="Disease/Infection Type" dataDxfId="204" totalsRowDxfId="203"/>
    <tableColumn id="14" name="If Other Disease/Infection Type Explain" dataDxfId="202" totalsRowDxfId="201"/>
    <tableColumn id="16" name="Number of Antibiotics Prescribed for this Condition " dataDxfId="200" totalsRowDxfId="199"/>
    <tableColumn id="17" name="Diagnostics Offered for Infectious Condition (Y/N)" dataDxfId="198" totalsRowDxfId="197"/>
    <tableColumn id="18" name="Diagnostic Performed for Infectious Condition (Y/N)" dataDxfId="196" totalsRowDxfId="195"/>
    <tableColumn id="23" name="Drug Name" dataDxfId="194" totalsRowDxfId="193"/>
    <tableColumn id="24" name="Drug Class" dataDxfId="192" totalsRowDxfId="191">
      <calculatedColumnFormula>IFERROR(VLOOKUP(December[[#This Row],[Drug Name]],'Data Options'!$R$1:$S$100,2,FALSE), " ")</calculatedColumnFormula>
    </tableColumn>
    <tableColumn id="26" name="Frequency" dataDxfId="190" totalsRowDxfId="189"/>
    <tableColumn id="27" name="Route" dataDxfId="188" totalsRowDxfId="187"/>
    <tableColumn id="31" name="Drug Name2" dataDxfId="186" totalsRowDxfId="185"/>
    <tableColumn id="32" name="Drug Class2" dataDxfId="184" totalsRowDxfId="183">
      <calculatedColumnFormula>IFERROR(VLOOKUP(December[[#This Row],[Drug Name2]],'Data Options'!$R$1:$S$100,2,FALSE), " ")</calculatedColumnFormula>
    </tableColumn>
    <tableColumn id="34" name="Frequency2" dataDxfId="182" totalsRowDxfId="181"/>
    <tableColumn id="35" name="Route2" dataDxfId="180" totalsRowDxfId="179"/>
    <tableColumn id="39" name="Drug Name3" dataDxfId="178" totalsRowDxfId="177"/>
    <tableColumn id="40" name="Drug Class3" dataDxfId="176" totalsRowDxfId="175">
      <calculatedColumnFormula>IFERROR(VLOOKUP(December[[#This Row],[Drug Name3]],'Data Options'!$R$1:$S$100,2,FALSE), " ")</calculatedColumnFormula>
    </tableColumn>
    <tableColumn id="42" name="Frequency3" dataDxfId="174" totalsRowDxfId="173"/>
    <tableColumn id="43" name="Route3" dataDxfId="172" totalsRowDxfId="171"/>
    <tableColumn id="47" name="Disease/Infection Type2" dataDxfId="170" totalsRowDxfId="169"/>
    <tableColumn id="48" name="If Other Disease/Infection Type Explain2" dataDxfId="168" totalsRowDxfId="167"/>
    <tableColumn id="50" name="Number of Antibiotics Prescribed for this Condition2" dataDxfId="166" totalsRowDxfId="165"/>
    <tableColumn id="51" name="Diagnostics Offered for Infectious Condition (Y/N)2" dataDxfId="164" totalsRowDxfId="163"/>
    <tableColumn id="52" name="Diagnostic Performed for Infectious Condition (Y/N)2" dataDxfId="162" totalsRowDxfId="161"/>
    <tableColumn id="57" name="Drug Name4" dataDxfId="160" totalsRowDxfId="159"/>
    <tableColumn id="58" name="Drug Class4" dataDxfId="158" totalsRowDxfId="157">
      <calculatedColumnFormula>IFERROR(VLOOKUP(December[[#This Row],[Drug Name4]],'Data Options'!$R$1:$S$100,2,FALSE), " ")</calculatedColumnFormula>
    </tableColumn>
    <tableColumn id="60" name="Frequency4" dataDxfId="156" totalsRowDxfId="155"/>
    <tableColumn id="61" name="Route4" dataDxfId="154" totalsRowDxfId="153"/>
    <tableColumn id="65" name="Drug Name5" dataDxfId="152" totalsRowDxfId="151"/>
    <tableColumn id="66" name="Drug Class5" dataDxfId="150" totalsRowDxfId="149">
      <calculatedColumnFormula>IFERROR(VLOOKUP(December[[#This Row],[Drug Name5]],'Data Options'!$R$1:$S$100,2,FALSE), " ")</calculatedColumnFormula>
    </tableColumn>
    <tableColumn id="68" name="Frequency5" dataDxfId="148" totalsRowDxfId="147"/>
    <tableColumn id="69" name="Route5" dataDxfId="146" totalsRowDxfId="145"/>
    <tableColumn id="73" name="Drug Name6" dataDxfId="144" totalsRowDxfId="143"/>
    <tableColumn id="74" name="Drug Class6" dataDxfId="142" totalsRowDxfId="141">
      <calculatedColumnFormula>IFERROR(VLOOKUP(December[[#This Row],[Drug Name6]],'Data Options'!$R$1:$S$100,2,FALSE), " ")</calculatedColumnFormula>
    </tableColumn>
    <tableColumn id="76" name="Frequency6" dataDxfId="140" totalsRowDxfId="139"/>
    <tableColumn id="77" name="Route6" dataDxfId="138" totalsRowDxfId="137"/>
    <tableColumn id="81" name="Disease/Infection Type3" dataDxfId="136" totalsRowDxfId="135"/>
    <tableColumn id="82" name="If Other Disease/Infection Type Explain3" dataDxfId="134" totalsRowDxfId="133"/>
    <tableColumn id="84" name="Number of Antibiotics Prescribed for this Condition3" dataDxfId="132" totalsRowDxfId="131"/>
    <tableColumn id="85" name="Diagnostics Offered for Infectious Condition (Y/N)3" dataDxfId="130" totalsRowDxfId="129"/>
    <tableColumn id="86" name="Diagnostic Performed for Infectious Condition (Y/N)3" dataDxfId="128" totalsRowDxfId="127"/>
    <tableColumn id="91" name="Drug Name7" dataDxfId="126" totalsRowDxfId="125"/>
    <tableColumn id="92" name="Drug Class7" dataDxfId="124" totalsRowDxfId="123">
      <calculatedColumnFormula>IFERROR(VLOOKUP(December[[#This Row],[Drug Name7]],'Data Options'!$R$1:$S$100,2,FALSE), " ")</calculatedColumnFormula>
    </tableColumn>
    <tableColumn id="94" name="Frequency7" dataDxfId="122" totalsRowDxfId="121"/>
    <tableColumn id="95" name="Route7" dataDxfId="120" totalsRowDxfId="119"/>
    <tableColumn id="99" name="Drug Name8" dataDxfId="118" totalsRowDxfId="117"/>
    <tableColumn id="100" name="Drug Class8" dataDxfId="116" totalsRowDxfId="115">
      <calculatedColumnFormula>IFERROR(VLOOKUP(December[[#This Row],[Drug Name8]],'Data Options'!$R$1:$S$100,2,FALSE), " ")</calculatedColumnFormula>
    </tableColumn>
    <tableColumn id="102" name="Frequency8" dataDxfId="114" totalsRowDxfId="113"/>
    <tableColumn id="103" name="Route8" dataDxfId="112" totalsRowDxfId="111"/>
    <tableColumn id="107" name="Drug Name9" dataDxfId="110" totalsRowDxfId="109"/>
    <tableColumn id="108" name="Drug Class9" dataDxfId="108" totalsRowDxfId="107">
      <calculatedColumnFormula>IFERROR(VLOOKUP(December[[#This Row],[Drug Name9]],'Data Options'!$R$1:$S$100,2,FALSE), " ")</calculatedColumnFormula>
    </tableColumn>
    <tableColumn id="110" name="Frequency9" dataDxfId="106" totalsRowDxfId="105"/>
    <tableColumn id="111" name="Route9" dataDxfId="104" totalsRowDxfId="103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id="25" name="Species" displayName="Species" ref="D3:D5" totalsRowShown="0" headerRowDxfId="102" dataDxfId="101">
  <autoFilter ref="D3:D5"/>
  <tableColumns count="1">
    <tableColumn id="1" name="Patient Species" dataDxfId="100"/>
  </tableColumns>
  <tableStyleInfo name="TableStyleLight21" showFirstColumn="0" showLastColumn="0" showRowStripes="1" showColumnStripes="0"/>
</table>
</file>

<file path=xl/tables/table16.xml><?xml version="1.0" encoding="utf-8"?>
<table xmlns="http://schemas.openxmlformats.org/spreadsheetml/2006/main" id="26" name="Sex" displayName="Sex" ref="E3:E7" totalsRowShown="0" headerRowDxfId="99" dataDxfId="98">
  <autoFilter ref="E3:E7"/>
  <sortState ref="E4:E7">
    <sortCondition ref="E4"/>
  </sortState>
  <tableColumns count="1">
    <tableColumn id="1" name="Patient Sex" dataDxfId="97"/>
  </tableColumns>
  <tableStyleInfo name="TableStyleLight21" showFirstColumn="0" showLastColumn="0" showRowStripes="1" showColumnStripes="0"/>
</table>
</file>

<file path=xl/tables/table17.xml><?xml version="1.0" encoding="utf-8"?>
<table xmlns="http://schemas.openxmlformats.org/spreadsheetml/2006/main" id="27" name="Age" displayName="Age" ref="F3:F9" totalsRowShown="0" headerRowDxfId="96" dataDxfId="95">
  <autoFilter ref="F3:F9"/>
  <tableColumns count="1">
    <tableColumn id="1" name="Patient Age" dataDxfId="94"/>
  </tableColumns>
  <tableStyleInfo name="TableStyleLight21" showFirstColumn="0" showLastColumn="0" showRowStripes="1" showColumnStripes="0"/>
</table>
</file>

<file path=xl/tables/table18.xml><?xml version="1.0" encoding="utf-8"?>
<table xmlns="http://schemas.openxmlformats.org/spreadsheetml/2006/main" id="28" name="Visit_Reason" displayName="Visit_Reason" ref="G3:G9" totalsRowShown="0" headerRowDxfId="93" dataDxfId="92">
  <autoFilter ref="G3:G9"/>
  <tableColumns count="1">
    <tableColumn id="1" name="Reason for Visit" dataDxfId="91"/>
  </tableColumns>
  <tableStyleInfo name="TableStyleLight21" showFirstColumn="0" showLastColumn="0" showRowStripes="1" showColumnStripes="0"/>
</table>
</file>

<file path=xl/tables/table19.xml><?xml version="1.0" encoding="utf-8"?>
<table xmlns="http://schemas.openxmlformats.org/spreadsheetml/2006/main" id="29" name="ABX_YN" displayName="ABX_YN" ref="I3:I6" totalsRowShown="0" headerRowDxfId="90" dataDxfId="89">
  <autoFilter ref="I3:I6"/>
  <tableColumns count="1">
    <tableColumn id="1" name="Patient Prescribed Antibiotic" dataDxfId="8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19" name="Table19" displayName="Table19" ref="B2:C15" totalsRowShown="0" dataDxfId="1556">
  <autoFilter ref="B2:C15"/>
  <tableColumns count="2">
    <tableColumn id="1" name=" " dataDxfId="1555"/>
    <tableColumn id="2" name="Percentage of Patients Prescribed Antibiotics" dataDxfId="1554">
      <calculatedColumnFormula>IFERROR(Calculations!E2/Calculations!B2*100, " ")</calculatedColumnFormula>
    </tableColumn>
  </tableColumns>
  <tableStyleInfo name="TableStyleMedium4" showFirstColumn="0" showLastColumn="0" showRowStripes="1" showColumnStripes="0"/>
</table>
</file>

<file path=xl/tables/table20.xml><?xml version="1.0" encoding="utf-8"?>
<table xmlns="http://schemas.openxmlformats.org/spreadsheetml/2006/main" id="30" name="ABX_Number" displayName="ABX_Number" ref="J3:J12" totalsRowShown="0" headerRowDxfId="87" dataDxfId="86">
  <autoFilter ref="J3:J12"/>
  <tableColumns count="1">
    <tableColumn id="1" name="Total Number of Antibiotics Prescribed" dataDxfId="85"/>
  </tableColumns>
  <tableStyleInfo name="TableStyleLight21" showFirstColumn="0" showLastColumn="0" showRowStripes="1" showColumnStripes="0"/>
</table>
</file>

<file path=xl/tables/table21.xml><?xml version="1.0" encoding="utf-8"?>
<table xmlns="http://schemas.openxmlformats.org/spreadsheetml/2006/main" id="31" name="Disease_Type" displayName="Disease_Type" ref="L3:L21" totalsRowShown="0" headerRowDxfId="84" dataDxfId="83">
  <autoFilter ref="L3:L21"/>
  <sortState ref="L4:L18">
    <sortCondition ref="L4"/>
  </sortState>
  <tableColumns count="1">
    <tableColumn id="1" name="Disease/Infection Type" dataDxfId="82"/>
  </tableColumns>
  <tableStyleInfo name="TableStyleLight19" showFirstColumn="0" showLastColumn="0" showRowStripes="1" showColumnStripes="0"/>
</table>
</file>

<file path=xl/tables/table22.xml><?xml version="1.0" encoding="utf-8"?>
<table xmlns="http://schemas.openxmlformats.org/spreadsheetml/2006/main" id="32" name="Disease_Descrip" displayName="Disease_Descrip" ref="N3:N8" totalsRowShown="0" headerRowDxfId="81" dataDxfId="80">
  <autoFilter ref="N3:N8"/>
  <sortState ref="N4:N6">
    <sortCondition ref="N4"/>
  </sortState>
  <tableColumns count="1">
    <tableColumn id="1" name="Disease Description" dataDxfId="79"/>
  </tableColumns>
  <tableStyleInfo name="TableStyleLight19" showFirstColumn="0" showLastColumn="0" showRowStripes="1" showColumnStripes="0"/>
</table>
</file>

<file path=xl/tables/table23.xml><?xml version="1.0" encoding="utf-8"?>
<table xmlns="http://schemas.openxmlformats.org/spreadsheetml/2006/main" id="33" name="Dz_Abx_Num" displayName="Dz_Abx_Num" ref="O3:O6" totalsRowShown="0" headerRowDxfId="78" dataDxfId="77">
  <autoFilter ref="O3:O6"/>
  <tableColumns count="1">
    <tableColumn id="1" name="Number of Antibiotics Prescribed for this Condition" dataDxfId="76"/>
  </tableColumns>
  <tableStyleInfo name="TableStyleLight19" showFirstColumn="0" showLastColumn="0" showRowStripes="1" showColumnStripes="0"/>
</table>
</file>

<file path=xl/tables/table24.xml><?xml version="1.0" encoding="utf-8"?>
<table xmlns="http://schemas.openxmlformats.org/spreadsheetml/2006/main" id="34" name="Diagnostics_Offer_YN" displayName="Diagnostics_Offer_YN" ref="P3:P5" totalsRowShown="0" headerRowDxfId="75">
  <autoFilter ref="P3:P5"/>
  <tableColumns count="1">
    <tableColumn id="1" name="Diagnostics Offered for Infectious Condition"/>
  </tableColumns>
  <tableStyleInfo name="TableStyleLight19" showFirstColumn="0" showLastColumn="0" showRowStripes="1" showColumnStripes="0"/>
</table>
</file>

<file path=xl/tables/table25.xml><?xml version="1.0" encoding="utf-8"?>
<table xmlns="http://schemas.openxmlformats.org/spreadsheetml/2006/main" id="35" name="Diagnostics_Performed_YN" displayName="Diagnostics_Performed_YN" ref="Q3:Q5" totalsRowShown="0" headerRowDxfId="74">
  <autoFilter ref="Q3:Q5"/>
  <tableColumns count="1">
    <tableColumn id="1" name="Diagnostic Performed for Infectious Condition"/>
  </tableColumns>
  <tableStyleInfo name="TableStyleLight19" showFirstColumn="0" showLastColumn="0" showRowStripes="1" showColumnStripes="0"/>
</table>
</file>

<file path=xl/tables/table26.xml><?xml version="1.0" encoding="utf-8"?>
<table xmlns="http://schemas.openxmlformats.org/spreadsheetml/2006/main" id="38" name="Drug_Name" displayName="Drug_Name" ref="R3:R73" totalsRowShown="0" headerRowDxfId="73" dataDxfId="72">
  <autoFilter ref="R3:R73"/>
  <sortState ref="R4:R73">
    <sortCondition ref="R4"/>
  </sortState>
  <tableColumns count="1">
    <tableColumn id="1" name="Drug Name" dataDxfId="71"/>
  </tableColumns>
  <tableStyleInfo name="TableStyleLight18" showFirstColumn="0" showLastColumn="0" showRowStripes="1" showColumnStripes="0"/>
</table>
</file>

<file path=xl/tables/table27.xml><?xml version="1.0" encoding="utf-8"?>
<table xmlns="http://schemas.openxmlformats.org/spreadsheetml/2006/main" id="39" name="Drug_Class" displayName="Drug_Class" ref="S3:S73" totalsRowShown="0" headerRowDxfId="70">
  <autoFilter ref="S3:S73"/>
  <tableColumns count="1">
    <tableColumn id="1" name="Drug Class"/>
  </tableColumns>
  <tableStyleInfo name="TableStyleLight18" showFirstColumn="0" showLastColumn="0" showRowStripes="1" showColumnStripes="0"/>
</table>
</file>

<file path=xl/tables/table28.xml><?xml version="1.0" encoding="utf-8"?>
<table xmlns="http://schemas.openxmlformats.org/spreadsheetml/2006/main" id="40" name="Abx_Freq" displayName="Abx_Freq" ref="U3:U11" totalsRowShown="0" headerRowDxfId="69" dataDxfId="68">
  <autoFilter ref="U3:U11"/>
  <tableColumns count="1">
    <tableColumn id="1" name="Frequency" dataDxfId="67"/>
  </tableColumns>
  <tableStyleInfo name="TableStyleLight18" showFirstColumn="0" showLastColumn="0" showRowStripes="1" showColumnStripes="0"/>
</table>
</file>

<file path=xl/tables/table29.xml><?xml version="1.0" encoding="utf-8"?>
<table xmlns="http://schemas.openxmlformats.org/spreadsheetml/2006/main" id="41" name="Abx_Route" displayName="Abx_Route" ref="V3:V9" totalsRowShown="0" headerRowDxfId="66" dataDxfId="65">
  <autoFilter ref="V3:V9"/>
  <sortState ref="V4:V8">
    <sortCondition ref="V4"/>
  </sortState>
  <tableColumns count="1">
    <tableColumn id="1" name="Route" dataDxfId="64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16" name="January" displayName="January" ref="A3:BI202" totalsRowCount="1" headerRowDxfId="1553" dataDxfId="1551" totalsRowDxfId="1550" headerRowBorderDxfId="1552">
  <autoFilter ref="A3:BI201"/>
  <tableColumns count="61">
    <tableColumn id="1" name="Date of Service" totalsRowLabel="Total" dataDxfId="1549" totalsRowDxfId="60"/>
    <tableColumn id="3" name="Attending Clinician" dataDxfId="1548" totalsRowDxfId="59"/>
    <tableColumn id="4" name="Patient Medical Record Number" dataDxfId="1547" totalsRowDxfId="58"/>
    <tableColumn id="5" name="Patient Species" dataDxfId="1546" totalsRowDxfId="57"/>
    <tableColumn id="6" name="Patient Sex" dataDxfId="1545" totalsRowDxfId="56"/>
    <tableColumn id="7" name="Patient Age" dataDxfId="1544" totalsRowDxfId="55"/>
    <tableColumn id="8" name="Reason for Visit" dataDxfId="1543" totalsRowDxfId="54"/>
    <tableColumn id="9" name="If Other Reason for Visit Explain" dataDxfId="1542" totalsRowDxfId="53"/>
    <tableColumn id="10" name="Patient Prescribed Antibiotic (Y/N/WW)" dataDxfId="1541" totalsRowDxfId="52"/>
    <tableColumn id="11" name="Total Number of Antibiotics Prescribed for Patient" dataDxfId="1540" totalsRowDxfId="51"/>
    <tableColumn id="13" name="Disease/Infection Type" dataDxfId="1539" totalsRowDxfId="50"/>
    <tableColumn id="14" name="If Other Disease/Infection Type Explain" dataDxfId="1538" totalsRowDxfId="49"/>
    <tableColumn id="16" name="Number of Antibiotics Prescribed for this Condition " dataDxfId="1537" totalsRowDxfId="48"/>
    <tableColumn id="17" name="Diagnostics Offered for Infectious Condition (Y/N)" dataDxfId="1536" totalsRowDxfId="47"/>
    <tableColumn id="18" name="Diagnostic Performed for Infectious Condition (Y/N)" dataDxfId="1535" totalsRowDxfId="46"/>
    <tableColumn id="23" name="Drug Name" dataDxfId="1534" totalsRowDxfId="45"/>
    <tableColumn id="24" name="Drug Class" dataDxfId="1533" totalsRowDxfId="44">
      <calculatedColumnFormula>IFERROR(VLOOKUP(January[[#This Row],[Drug Name]],'Data Options'!$R$1:$S$100,2,FALSE), " ")</calculatedColumnFormula>
    </tableColumn>
    <tableColumn id="26" name="Frequency" dataDxfId="1532" totalsRowDxfId="43"/>
    <tableColumn id="27" name="Route" dataDxfId="1531" totalsRowDxfId="42"/>
    <tableColumn id="31" name="Drug Name2" dataDxfId="1530" totalsRowDxfId="41"/>
    <tableColumn id="32" name="Drug Class2" dataDxfId="1529" totalsRowDxfId="40">
      <calculatedColumnFormula>IFERROR(VLOOKUP(January[[#This Row],[Drug Name2]],'Data Options'!$R$1:$S$100,2,FALSE), " ")</calculatedColumnFormula>
    </tableColumn>
    <tableColumn id="34" name="Frequency2" dataDxfId="1528" totalsRowDxfId="39"/>
    <tableColumn id="35" name="Route2" dataDxfId="1527" totalsRowDxfId="38"/>
    <tableColumn id="39" name="Drug Name3" dataDxfId="1526" totalsRowDxfId="37"/>
    <tableColumn id="40" name="Drug Class3" dataDxfId="1525" totalsRowDxfId="36">
      <calculatedColumnFormula>IFERROR(VLOOKUP(January[[#This Row],[Drug Name3]],'Data Options'!$R$1:$S$100,2,FALSE), " ")</calculatedColumnFormula>
    </tableColumn>
    <tableColumn id="42" name="Frequency3" dataDxfId="1524" totalsRowDxfId="35"/>
    <tableColumn id="43" name="Route3" dataDxfId="1523" totalsRowDxfId="34"/>
    <tableColumn id="47" name="Disease/Infection Type2" dataDxfId="1522" totalsRowDxfId="33"/>
    <tableColumn id="48" name="If Other Disease/Infection Type Explain2" dataDxfId="1521" totalsRowDxfId="32"/>
    <tableColumn id="50" name="Number of Antibiotics Prescribed for this Condition2" dataDxfId="1520" totalsRowDxfId="31"/>
    <tableColumn id="51" name="Diagnostics Offered for Infectious Condition (Y/N)2" dataDxfId="1519" totalsRowDxfId="30"/>
    <tableColumn id="52" name="Diagnostic Performed for Infectious Condition (Y/N)2" dataDxfId="1518" totalsRowDxfId="29"/>
    <tableColumn id="57" name="Drug Name4" dataDxfId="1517" totalsRowDxfId="28"/>
    <tableColumn id="58" name="Drug Class4" dataDxfId="1516" totalsRowDxfId="27">
      <calculatedColumnFormula>IFERROR(VLOOKUP(January[[#This Row],[Drug Name4]],'Data Options'!$R$1:$S$100,2,FALSE), " ")</calculatedColumnFormula>
    </tableColumn>
    <tableColumn id="60" name="Frequency4" dataDxfId="1515" totalsRowDxfId="26"/>
    <tableColumn id="61" name="Route4" dataDxfId="1514" totalsRowDxfId="25"/>
    <tableColumn id="65" name="Drug Name5" dataDxfId="1513" totalsRowDxfId="24"/>
    <tableColumn id="66" name="Drug Class5" dataDxfId="1512" totalsRowDxfId="23">
      <calculatedColumnFormula>IFERROR(VLOOKUP(January[[#This Row],[Drug Name5]],'Data Options'!$R$1:$S$100,2,FALSE), " ")</calculatedColumnFormula>
    </tableColumn>
    <tableColumn id="68" name="Frequency5" dataDxfId="1511" totalsRowDxfId="22"/>
    <tableColumn id="69" name="Route5" dataDxfId="1510" totalsRowDxfId="21"/>
    <tableColumn id="73" name="Drug Name6" dataDxfId="1509" totalsRowDxfId="20"/>
    <tableColumn id="74" name="Drug Class6" dataDxfId="1508" totalsRowDxfId="19">
      <calculatedColumnFormula>IFERROR(VLOOKUP(January[[#This Row],[Drug Name6]],'Data Options'!$R$1:$S$100,2,FALSE), " ")</calculatedColumnFormula>
    </tableColumn>
    <tableColumn id="76" name="Frequency6" dataDxfId="1507" totalsRowDxfId="18"/>
    <tableColumn id="77" name="Route6" dataDxfId="1506" totalsRowDxfId="17"/>
    <tableColumn id="81" name="Disease/Infection Type3" dataDxfId="1505" totalsRowDxfId="16"/>
    <tableColumn id="82" name="If Other Disease/Infection Type Explain3" dataDxfId="1504" totalsRowDxfId="15"/>
    <tableColumn id="84" name="Number of Antibiotics Prescribed for this Condition3" dataDxfId="1503" totalsRowDxfId="14"/>
    <tableColumn id="85" name="Diagnostics Offered for Infectious Condition (Y/N)3" dataDxfId="1502" totalsRowDxfId="13"/>
    <tableColumn id="86" name="Diagnostic Performed for Infectious Condition (Y/N)3" dataDxfId="1501" totalsRowDxfId="12"/>
    <tableColumn id="91" name="Drug Name7" dataDxfId="1500" totalsRowDxfId="11"/>
    <tableColumn id="92" name="Drug Class7" dataDxfId="1499" totalsRowDxfId="10">
      <calculatedColumnFormula>IFERROR(VLOOKUP(January[[#This Row],[Drug Name7]],'Data Options'!$R$1:$S$100,2,FALSE), " ")</calculatedColumnFormula>
    </tableColumn>
    <tableColumn id="94" name="Frequency7" dataDxfId="1498" totalsRowDxfId="9"/>
    <tableColumn id="95" name="Route7" dataDxfId="1497" totalsRowDxfId="8"/>
    <tableColumn id="99" name="Drug Name8" dataDxfId="1496" totalsRowDxfId="7"/>
    <tableColumn id="100" name="Drug Class8" dataDxfId="1495" totalsRowDxfId="6">
      <calculatedColumnFormula>IFERROR(VLOOKUP(January[[#This Row],[Drug Name8]],'Data Options'!$R$1:$S$100,2,FALSE), " ")</calculatedColumnFormula>
    </tableColumn>
    <tableColumn id="102" name="Frequency8" dataDxfId="1494" totalsRowDxfId="5"/>
    <tableColumn id="103" name="Route8" dataDxfId="1493" totalsRowDxfId="4"/>
    <tableColumn id="107" name="Drug Name9" dataDxfId="1492" totalsRowDxfId="3"/>
    <tableColumn id="108" name="Drug Class9" dataDxfId="1491" totalsRowDxfId="2">
      <calculatedColumnFormula>IFERROR(VLOOKUP(January[[#This Row],[Drug Name9]],'Data Options'!$R$1:$S$100,2,FALSE), " ")</calculatedColumnFormula>
    </tableColumn>
    <tableColumn id="110" name="Frequency9" dataDxfId="1490" totalsRowDxfId="1"/>
    <tableColumn id="111" name="Route9" dataDxfId="1489" totalsRowDxfId="0"/>
  </tableColumns>
  <tableStyleInfo name="TableStyleLight18" showFirstColumn="0" showLastColumn="0" showRowStripes="1" showColumnStripes="0"/>
</table>
</file>

<file path=xl/tables/table30.xml><?xml version="1.0" encoding="utf-8"?>
<table xmlns="http://schemas.openxmlformats.org/spreadsheetml/2006/main" id="42" name="Prescription_Type" displayName="Prescription_Type" ref="X3:X5" totalsRowShown="0" headerRowDxfId="63" dataDxfId="62">
  <autoFilter ref="X3:X5"/>
  <sortState ref="X4:X5">
    <sortCondition descending="1" ref="X5"/>
  </sortState>
  <tableColumns count="1">
    <tableColumn id="1" name="Location Filled" dataDxfId="61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13" name="February" displayName="February" ref="A3:BI202" totalsRowCount="1" headerRowDxfId="1488" dataDxfId="1486" totalsRowDxfId="1485" headerRowBorderDxfId="1487">
  <autoFilter ref="A3:BI201"/>
  <tableColumns count="61">
    <tableColumn id="1" name="Date of Service" totalsRowLabel="Total" dataDxfId="1484" totalsRowDxfId="1483"/>
    <tableColumn id="3" name="Attending Clinician" dataDxfId="1482" totalsRowDxfId="1481"/>
    <tableColumn id="4" name="Patient Medical Record Number" dataDxfId="1480" totalsRowDxfId="1479"/>
    <tableColumn id="5" name="Patient Species" dataDxfId="1478" totalsRowDxfId="1477"/>
    <tableColumn id="6" name="Patient Sex" dataDxfId="1476" totalsRowDxfId="1475"/>
    <tableColumn id="7" name="Patient Age" dataDxfId="1474" totalsRowDxfId="1473"/>
    <tableColumn id="8" name="Reason for Visit" dataDxfId="1472" totalsRowDxfId="1471"/>
    <tableColumn id="9" name="If Other Reason for Visit Explain" dataDxfId="1470" totalsRowDxfId="1469"/>
    <tableColumn id="10" name="Patient Prescribed Antibiotic (Y/N/WW)" dataDxfId="1468" totalsRowDxfId="1467"/>
    <tableColumn id="11" name="Total Number of Antibiotics Prescribed for Patient" dataDxfId="1466" totalsRowDxfId="1465"/>
    <tableColumn id="13" name="Disease/Infection Type" dataDxfId="1464" totalsRowDxfId="1463"/>
    <tableColumn id="14" name="If Other Disease/Infection Type Explain" dataDxfId="1462" totalsRowDxfId="1461"/>
    <tableColumn id="16" name="Number of Antibiotics Prescribed for this Condition " dataDxfId="1460" totalsRowDxfId="1459"/>
    <tableColumn id="17" name="Diagnostics Offered for Infectious Condition (Y/N)" dataDxfId="1458" totalsRowDxfId="1457"/>
    <tableColumn id="18" name="Diagnostic Performed for Infectious Condition (Y/N)" dataDxfId="1456" totalsRowDxfId="1455"/>
    <tableColumn id="23" name="Drug Name" dataDxfId="1454" totalsRowDxfId="1453"/>
    <tableColumn id="24" name="Drug Class" dataDxfId="1452" totalsRowDxfId="1451">
      <calculatedColumnFormula>IFERROR(VLOOKUP(February[[#This Row],[Drug Name]],'Data Options'!$R$1:$S$100,2,FALSE), " ")</calculatedColumnFormula>
    </tableColumn>
    <tableColumn id="26" name="Frequency" dataDxfId="1450" totalsRowDxfId="1449"/>
    <tableColumn id="27" name="Route" dataDxfId="1448" totalsRowDxfId="1447"/>
    <tableColumn id="31" name="Drug Name2" dataDxfId="1446" totalsRowDxfId="1445"/>
    <tableColumn id="32" name="Drug Class2" dataDxfId="1444" totalsRowDxfId="1443">
      <calculatedColumnFormula>IFERROR(VLOOKUP(February[[#This Row],[Drug Name2]],'Data Options'!$R$1:$S$100,2,FALSE), " ")</calculatedColumnFormula>
    </tableColumn>
    <tableColumn id="34" name="Frequency2" dataDxfId="1442" totalsRowDxfId="1441"/>
    <tableColumn id="35" name="Route2" dataDxfId="1440" totalsRowDxfId="1439"/>
    <tableColumn id="39" name="Drug Name3" dataDxfId="1438" totalsRowDxfId="1437"/>
    <tableColumn id="40" name="Drug Class3" dataDxfId="1436" totalsRowDxfId="1435">
      <calculatedColumnFormula>IFERROR(VLOOKUP(February[[#This Row],[Drug Name3]],'Data Options'!$R$1:$S$100,2,FALSE), " ")</calculatedColumnFormula>
    </tableColumn>
    <tableColumn id="42" name="Frequency3" dataDxfId="1434" totalsRowDxfId="1433"/>
    <tableColumn id="43" name="Route3" dataDxfId="1432" totalsRowDxfId="1431"/>
    <tableColumn id="47" name="Disease/Infection Type2" dataDxfId="1430" totalsRowDxfId="1429"/>
    <tableColumn id="48" name="If Other Disease/Infection Type Explain2" dataDxfId="1428" totalsRowDxfId="1427"/>
    <tableColumn id="50" name="Number of Antibiotics Prescribed for this Condition2" dataDxfId="1426" totalsRowDxfId="1425"/>
    <tableColumn id="51" name="Diagnostics Offered for Infectious Condition (Y/N)2" dataDxfId="1424" totalsRowDxfId="1423"/>
    <tableColumn id="52" name="Diagnostic Performed for Infectious Condition (Y/N)2" dataDxfId="1422" totalsRowDxfId="1421"/>
    <tableColumn id="57" name="Drug Name4" dataDxfId="1420" totalsRowDxfId="1419"/>
    <tableColumn id="58" name="Drug Class4" dataDxfId="1418" totalsRowDxfId="1417">
      <calculatedColumnFormula>IFERROR(VLOOKUP(February[[#This Row],[Drug Name4]],'Data Options'!$R$1:$S$100,2,FALSE), " ")</calculatedColumnFormula>
    </tableColumn>
    <tableColumn id="60" name="Frequency4" dataDxfId="1416" totalsRowDxfId="1415"/>
    <tableColumn id="61" name="Route4" dataDxfId="1414" totalsRowDxfId="1413"/>
    <tableColumn id="65" name="Drug Name5" dataDxfId="1412" totalsRowDxfId="1411"/>
    <tableColumn id="66" name="Drug Class5" dataDxfId="1410" totalsRowDxfId="1409">
      <calculatedColumnFormula>IFERROR(VLOOKUP(February[[#This Row],[Drug Name5]],'Data Options'!$R$1:$S$100,2,FALSE), " ")</calculatedColumnFormula>
    </tableColumn>
    <tableColumn id="68" name="Frequency5" dataDxfId="1408" totalsRowDxfId="1407"/>
    <tableColumn id="69" name="Route5" dataDxfId="1406" totalsRowDxfId="1405"/>
    <tableColumn id="73" name="Drug Name6" dataDxfId="1404" totalsRowDxfId="1403"/>
    <tableColumn id="74" name="Drug Class6" dataDxfId="1402" totalsRowDxfId="1401">
      <calculatedColumnFormula>IFERROR(VLOOKUP(February[[#This Row],[Drug Name6]],'Data Options'!$R$1:$S$100,2,FALSE), " ")</calculatedColumnFormula>
    </tableColumn>
    <tableColumn id="76" name="Frequency6" dataDxfId="1400" totalsRowDxfId="1399"/>
    <tableColumn id="77" name="Route6" dataDxfId="1398" totalsRowDxfId="1397"/>
    <tableColumn id="81" name="Disease/Infection Type3" dataDxfId="1396" totalsRowDxfId="1395"/>
    <tableColumn id="82" name="If Other Disease/Infection Type Explain3" dataDxfId="1394" totalsRowDxfId="1393"/>
    <tableColumn id="84" name="Number of Antibiotics Prescribed for this Condition3" dataDxfId="1392" totalsRowDxfId="1391"/>
    <tableColumn id="85" name="Diagnostics Offered for Infectious Condition (Y/N)3" dataDxfId="1390" totalsRowDxfId="1389"/>
    <tableColumn id="86" name="Diagnostic Performed for Infectious Condition (Y/N)3" dataDxfId="1388" totalsRowDxfId="1387"/>
    <tableColumn id="91" name="Drug Name7" dataDxfId="1386" totalsRowDxfId="1385"/>
    <tableColumn id="92" name="Drug Class7" dataDxfId="1384" totalsRowDxfId="1383">
      <calculatedColumnFormula>IFERROR(VLOOKUP(February[[#This Row],[Drug Name7]],'Data Options'!$R$1:$S$100,2,FALSE), " ")</calculatedColumnFormula>
    </tableColumn>
    <tableColumn id="94" name="Frequency7" dataDxfId="1382" totalsRowDxfId="1381"/>
    <tableColumn id="95" name="Route7" dataDxfId="1380" totalsRowDxfId="1379"/>
    <tableColumn id="99" name="Drug Name8" dataDxfId="1378" totalsRowDxfId="1377"/>
    <tableColumn id="100" name="Drug Class8" dataDxfId="1376" totalsRowDxfId="1375">
      <calculatedColumnFormula>IFERROR(VLOOKUP(February[[#This Row],[Drug Name8]],'Data Options'!$R$1:$S$100,2,FALSE), " ")</calculatedColumnFormula>
    </tableColumn>
    <tableColumn id="102" name="Frequency8" dataDxfId="1374" totalsRowDxfId="1373"/>
    <tableColumn id="103" name="Route8" dataDxfId="1372" totalsRowDxfId="1371"/>
    <tableColumn id="107" name="Drug Name9" dataDxfId="1370" totalsRowDxfId="1369"/>
    <tableColumn id="108" name="Drug Class9" dataDxfId="1368" totalsRowDxfId="1367">
      <calculatedColumnFormula>IFERROR(VLOOKUP(February[[#This Row],[Drug Name9]],'Data Options'!$R$1:$S$100,2,FALSE), " ")</calculatedColumnFormula>
    </tableColumn>
    <tableColumn id="110" name="Frequency9" dataDxfId="1366" totalsRowDxfId="1365"/>
    <tableColumn id="111" name="Route9" dataDxfId="1364" totalsRowDxfId="1363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15" name="March" displayName="March" ref="A3:BI202" totalsRowCount="1" headerRowDxfId="1362" dataDxfId="1360" totalsRowDxfId="1359" headerRowBorderDxfId="1361">
  <autoFilter ref="A3:BI201"/>
  <tableColumns count="61">
    <tableColumn id="1" name="Date of Service" totalsRowLabel="Total" dataDxfId="1358" totalsRowDxfId="1357"/>
    <tableColumn id="3" name="Attending Clinician" dataDxfId="1356" totalsRowDxfId="1355"/>
    <tableColumn id="4" name="Patient Medical Record Number" dataDxfId="1354" totalsRowDxfId="1353"/>
    <tableColumn id="5" name="Patient Species" dataDxfId="1352" totalsRowDxfId="1351"/>
    <tableColumn id="6" name="Patient Sex" dataDxfId="1350" totalsRowDxfId="1349"/>
    <tableColumn id="7" name="Patient Age" dataDxfId="1348" totalsRowDxfId="1347"/>
    <tableColumn id="8" name="Reason for Visit" dataDxfId="1346" totalsRowDxfId="1345"/>
    <tableColumn id="9" name="If Other Reason for Visit Explain" dataDxfId="1344" totalsRowDxfId="1343"/>
    <tableColumn id="10" name="Patient Prescribed Antibiotic (Y/N/WW)" dataDxfId="1342" totalsRowDxfId="1341"/>
    <tableColumn id="11" name="Total Number of Antibiotics Prescribed for Patient" dataDxfId="1340" totalsRowDxfId="1339"/>
    <tableColumn id="13" name="Disease/Infection Type" dataDxfId="1338" totalsRowDxfId="1337"/>
    <tableColumn id="14" name="If Other Disease/Infection Type Explain" dataDxfId="1336" totalsRowDxfId="1335"/>
    <tableColumn id="16" name="Number of Antibiotics Prescribed for this Condition " dataDxfId="1334" totalsRowDxfId="1333"/>
    <tableColumn id="17" name="Diagnostics Offered for Infectious Condition (Y/N)" dataDxfId="1332" totalsRowDxfId="1331"/>
    <tableColumn id="18" name="Diagnostic Performed for Infectious Condition (Y/N)" dataDxfId="1330" totalsRowDxfId="1329"/>
    <tableColumn id="23" name="Drug Name" dataDxfId="1328" totalsRowDxfId="1327"/>
    <tableColumn id="24" name="Drug Class" dataDxfId="1326" totalsRowDxfId="1325">
      <calculatedColumnFormula>IFERROR(VLOOKUP(March[[#This Row],[Drug Name]],'Data Options'!$R$1:$S$100,2,FALSE), " ")</calculatedColumnFormula>
    </tableColumn>
    <tableColumn id="26" name="Frequency" dataDxfId="1324" totalsRowDxfId="1323"/>
    <tableColumn id="27" name="Route" dataDxfId="1322" totalsRowDxfId="1321"/>
    <tableColumn id="31" name="Drug Name2" dataDxfId="1320" totalsRowDxfId="1319"/>
    <tableColumn id="32" name="Drug Class2" dataDxfId="1318" totalsRowDxfId="1317">
      <calculatedColumnFormula>IFERROR(VLOOKUP(March[[#This Row],[Drug Name2]],'Data Options'!$R$1:$S$100,2,FALSE), " ")</calculatedColumnFormula>
    </tableColumn>
    <tableColumn id="34" name="Frequency2" dataDxfId="1316" totalsRowDxfId="1315"/>
    <tableColumn id="35" name="Route2" dataDxfId="1314" totalsRowDxfId="1313"/>
    <tableColumn id="39" name="Drug Name3" dataDxfId="1312" totalsRowDxfId="1311"/>
    <tableColumn id="40" name="Drug Class3" dataDxfId="1310" totalsRowDxfId="1309">
      <calculatedColumnFormula>IFERROR(VLOOKUP(March[[#This Row],[Drug Name3]],'Data Options'!$R$1:$S$100,2,FALSE), " ")</calculatedColumnFormula>
    </tableColumn>
    <tableColumn id="42" name="Frequency3" dataDxfId="1308" totalsRowDxfId="1307"/>
    <tableColumn id="43" name="Route3" dataDxfId="1306" totalsRowDxfId="1305"/>
    <tableColumn id="47" name="Disease/Infection Type2" dataDxfId="1304" totalsRowDxfId="1303"/>
    <tableColumn id="48" name="If Other Disease/Infection Type Explain2" dataDxfId="1302" totalsRowDxfId="1301"/>
    <tableColumn id="50" name="Number of Antibiotics Prescribed for this Condition2" dataDxfId="1300" totalsRowDxfId="1299"/>
    <tableColumn id="51" name="Diagnostics Offered for Infectious Condition (Y/N)2" dataDxfId="1298" totalsRowDxfId="1297"/>
    <tableColumn id="52" name="Diagnostic Performed for Infectious Condition (Y/N)2" dataDxfId="1296" totalsRowDxfId="1295"/>
    <tableColumn id="57" name="Drug Name4" dataDxfId="1294" totalsRowDxfId="1293"/>
    <tableColumn id="58" name="Drug Class4" dataDxfId="1292" totalsRowDxfId="1291">
      <calculatedColumnFormula>IFERROR(VLOOKUP(March[[#This Row],[Drug Name4]],'Data Options'!$R$1:$S$100,2,FALSE), " ")</calculatedColumnFormula>
    </tableColumn>
    <tableColumn id="60" name="Frequency4" dataDxfId="1290" totalsRowDxfId="1289"/>
    <tableColumn id="61" name="Route4" dataDxfId="1288" totalsRowDxfId="1287"/>
    <tableColumn id="65" name="Drug Name5" dataDxfId="1286" totalsRowDxfId="1285"/>
    <tableColumn id="66" name="Drug Class5" dataDxfId="1284" totalsRowDxfId="1283">
      <calculatedColumnFormula>IFERROR(VLOOKUP(March[[#This Row],[Drug Name5]],'Data Options'!$R$1:$S$100,2,FALSE), " ")</calculatedColumnFormula>
    </tableColumn>
    <tableColumn id="68" name="Frequency5" dataDxfId="1282" totalsRowDxfId="1281"/>
    <tableColumn id="69" name="Route5" dataDxfId="1280" totalsRowDxfId="1279"/>
    <tableColumn id="73" name="Drug Name6" dataDxfId="1278" totalsRowDxfId="1277"/>
    <tableColumn id="74" name="Drug Class6" dataDxfId="1276" totalsRowDxfId="1275">
      <calculatedColumnFormula>IFERROR(VLOOKUP(March[[#This Row],[Drug Name6]],'Data Options'!$R$1:$S$100,2,FALSE), " ")</calculatedColumnFormula>
    </tableColumn>
    <tableColumn id="76" name="Frequency6" dataDxfId="1274" totalsRowDxfId="1273"/>
    <tableColumn id="77" name="Route6" dataDxfId="1272" totalsRowDxfId="1271"/>
    <tableColumn id="81" name="Disease/Infection Type3" dataDxfId="1270" totalsRowDxfId="1269"/>
    <tableColumn id="82" name="If Other Disease/Infection Type Explain3" dataDxfId="1268" totalsRowDxfId="1267"/>
    <tableColumn id="84" name="Number of Antibiotics Prescribed for this Condition3" dataDxfId="1266" totalsRowDxfId="1265"/>
    <tableColumn id="85" name="Diagnostics Offered for Infectious Condition (Y/N)3" dataDxfId="1264" totalsRowDxfId="1263"/>
    <tableColumn id="86" name="Diagnostic Performed for Infectious Condition (Y/N)3" dataDxfId="1262" totalsRowDxfId="1261"/>
    <tableColumn id="91" name="Drug Name7" dataDxfId="1260" totalsRowDxfId="1259"/>
    <tableColumn id="92" name="Drug Class7" dataDxfId="1258" totalsRowDxfId="1257">
      <calculatedColumnFormula>IFERROR(VLOOKUP(March[[#This Row],[Drug Name7]],'Data Options'!$R$1:$S$100,2,FALSE), " ")</calculatedColumnFormula>
    </tableColumn>
    <tableColumn id="94" name="Frequency7" dataDxfId="1256" totalsRowDxfId="1255"/>
    <tableColumn id="95" name="Route7" dataDxfId="1254" totalsRowDxfId="1253"/>
    <tableColumn id="99" name="Drug Name8" dataDxfId="1252" totalsRowDxfId="1251"/>
    <tableColumn id="100" name="Drug Class8" dataDxfId="1250" totalsRowDxfId="1249">
      <calculatedColumnFormula>IFERROR(VLOOKUP(March[[#This Row],[Drug Name8]],'Data Options'!$R$1:$S$100,2,FALSE), " ")</calculatedColumnFormula>
    </tableColumn>
    <tableColumn id="102" name="Frequency8" dataDxfId="1248" totalsRowDxfId="1247"/>
    <tableColumn id="103" name="Route8" dataDxfId="1246" totalsRowDxfId="1245"/>
    <tableColumn id="107" name="Drug Name9" dataDxfId="1244" totalsRowDxfId="1243"/>
    <tableColumn id="108" name="Drug Class9" dataDxfId="1242" totalsRowDxfId="1241">
      <calculatedColumnFormula>IFERROR(VLOOKUP(March[[#This Row],[Drug Name9]],'Data Options'!$R$1:$S$100,2,FALSE), " ")</calculatedColumnFormula>
    </tableColumn>
    <tableColumn id="110" name="Frequency9" dataDxfId="1240" totalsRowDxfId="1239"/>
    <tableColumn id="111" name="Route9" dataDxfId="1238" totalsRowDxfId="1237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id="17" name="April" displayName="April" ref="A3:BI202" totalsRowCount="1" headerRowDxfId="1236" dataDxfId="1234" totalsRowDxfId="1233" headerRowBorderDxfId="1235">
  <autoFilter ref="A3:BI201"/>
  <tableColumns count="61">
    <tableColumn id="1" name="Date of Service" totalsRowLabel="Total" dataDxfId="1232" totalsRowDxfId="1231"/>
    <tableColumn id="3" name="Attending Clinician" dataDxfId="1230" totalsRowDxfId="1229"/>
    <tableColumn id="4" name="Patient Medical Record Number" dataDxfId="1228" totalsRowDxfId="1227"/>
    <tableColumn id="5" name="Patient Species" dataDxfId="1226" totalsRowDxfId="1225"/>
    <tableColumn id="6" name="Patient Sex" dataDxfId="1224" totalsRowDxfId="1223"/>
    <tableColumn id="7" name="Patient Age" dataDxfId="1222" totalsRowDxfId="1221"/>
    <tableColumn id="8" name="Reason for Visit" dataDxfId="1220" totalsRowDxfId="1219"/>
    <tableColumn id="9" name="If Other Reason for Visit Explain" dataDxfId="1218" totalsRowDxfId="1217"/>
    <tableColumn id="10" name="Patient Prescribed Antibiotic (Y/N/WW)" dataDxfId="1216" totalsRowDxfId="1215"/>
    <tableColumn id="11" name="Total Number of Antibiotics Prescribed for Patient" dataDxfId="1214" totalsRowDxfId="1213"/>
    <tableColumn id="13" name="Disease/Infection Type" dataDxfId="1212" totalsRowDxfId="1211"/>
    <tableColumn id="14" name="If Other Disease/Infection Type Explain" dataDxfId="1210" totalsRowDxfId="1209"/>
    <tableColumn id="16" name="Number of Antibiotics Prescribed for this Condition " dataDxfId="1208" totalsRowDxfId="1207"/>
    <tableColumn id="17" name="Diagnostics Offered for Infectious Condition (Y/N)" dataDxfId="1206" totalsRowDxfId="1205"/>
    <tableColumn id="18" name="Diagnostic Performed for Infectious Condition (Y/N)" dataDxfId="1204" totalsRowDxfId="1203"/>
    <tableColumn id="23" name="Drug Name" dataDxfId="1202" totalsRowDxfId="1201"/>
    <tableColumn id="24" name="Drug Class" dataDxfId="1200" totalsRowDxfId="1199">
      <calculatedColumnFormula>IFERROR(VLOOKUP(April[[#This Row],[Drug Name]],'Data Options'!$R$1:$S$100,2,FALSE), " ")</calculatedColumnFormula>
    </tableColumn>
    <tableColumn id="26" name="Frequency" dataDxfId="1198" totalsRowDxfId="1197"/>
    <tableColumn id="27" name="Route" dataDxfId="1196" totalsRowDxfId="1195"/>
    <tableColumn id="31" name="Drug Name2" dataDxfId="1194" totalsRowDxfId="1193"/>
    <tableColumn id="32" name="Drug Class2" dataDxfId="1192" totalsRowDxfId="1191">
      <calculatedColumnFormula>IFERROR(VLOOKUP(April[[#This Row],[Drug Name2]],'Data Options'!$R$1:$S$100,2,FALSE), " ")</calculatedColumnFormula>
    </tableColumn>
    <tableColumn id="34" name="Frequency2" dataDxfId="1190" totalsRowDxfId="1189"/>
    <tableColumn id="35" name="Route2" dataDxfId="1188" totalsRowDxfId="1187"/>
    <tableColumn id="39" name="Drug Name3" dataDxfId="1186" totalsRowDxfId="1185"/>
    <tableColumn id="40" name="Drug Class3" dataDxfId="1184" totalsRowDxfId="1183">
      <calculatedColumnFormula>IFERROR(VLOOKUP(April[[#This Row],[Drug Name3]],'Data Options'!$R$1:$S$100,2,FALSE), " ")</calculatedColumnFormula>
    </tableColumn>
    <tableColumn id="42" name="Frequency3" dataDxfId="1182" totalsRowDxfId="1181"/>
    <tableColumn id="43" name="Route3" dataDxfId="1180" totalsRowDxfId="1179"/>
    <tableColumn id="47" name="Disease/Infection Type2" dataDxfId="1178" totalsRowDxfId="1177"/>
    <tableColumn id="48" name="If Other Disease/Infection Type Explain2" dataDxfId="1176" totalsRowDxfId="1175"/>
    <tableColumn id="50" name="Number of Antibiotics Prescribed for this Condition2" dataDxfId="1174" totalsRowDxfId="1173"/>
    <tableColumn id="51" name="Diagnostics Offered for Infectious Condition (Y/N)2" dataDxfId="1172" totalsRowDxfId="1171"/>
    <tableColumn id="52" name="Diagnostic Performed for Infectious Condition (Y/N)2" dataDxfId="1170" totalsRowDxfId="1169"/>
    <tableColumn id="57" name="Drug Name4" dataDxfId="1168" totalsRowDxfId="1167"/>
    <tableColumn id="58" name="Drug Class4" dataDxfId="1166" totalsRowDxfId="1165">
      <calculatedColumnFormula>IFERROR(VLOOKUP(April[[#This Row],[Drug Name4]],'Data Options'!$R$1:$S$100,2,FALSE), " ")</calculatedColumnFormula>
    </tableColumn>
    <tableColumn id="60" name="Frequency4" dataDxfId="1164" totalsRowDxfId="1163"/>
    <tableColumn id="61" name="Route4" dataDxfId="1162" totalsRowDxfId="1161"/>
    <tableColumn id="65" name="Drug Name5" dataDxfId="1160" totalsRowDxfId="1159"/>
    <tableColumn id="66" name="Drug Class5" dataDxfId="1158" totalsRowDxfId="1157">
      <calculatedColumnFormula>IFERROR(VLOOKUP(April[[#This Row],[Drug Name5]],'Data Options'!$R$1:$S$100,2,FALSE), " ")</calculatedColumnFormula>
    </tableColumn>
    <tableColumn id="68" name="Frequency5" dataDxfId="1156" totalsRowDxfId="1155"/>
    <tableColumn id="69" name="Route5" dataDxfId="1154" totalsRowDxfId="1153"/>
    <tableColumn id="73" name="Drug Name6" dataDxfId="1152" totalsRowDxfId="1151"/>
    <tableColumn id="74" name="Drug Class6" dataDxfId="1150" totalsRowDxfId="1149">
      <calculatedColumnFormula>IFERROR(VLOOKUP(April[[#This Row],[Drug Name6]],'Data Options'!$R$1:$S$100,2,FALSE), " ")</calculatedColumnFormula>
    </tableColumn>
    <tableColumn id="76" name="Frequency6" dataDxfId="1148" totalsRowDxfId="1147"/>
    <tableColumn id="77" name="Route6" dataDxfId="1146" totalsRowDxfId="1145"/>
    <tableColumn id="81" name="Disease/Infection Type3" dataDxfId="1144" totalsRowDxfId="1143"/>
    <tableColumn id="82" name="If Other Disease/Infection Type Explain3" dataDxfId="1142" totalsRowDxfId="1141"/>
    <tableColumn id="84" name="Number of Antibiotics Prescribed for this Condition3" dataDxfId="1140" totalsRowDxfId="1139"/>
    <tableColumn id="85" name="Diagnostics Offered for Infectious Condition (Y/N)3" dataDxfId="1138" totalsRowDxfId="1137"/>
    <tableColumn id="86" name="Diagnostic Performed for Infectious Condition (Y/N)3" dataDxfId="1136" totalsRowDxfId="1135"/>
    <tableColumn id="91" name="Drug Name7" dataDxfId="1134" totalsRowDxfId="1133"/>
    <tableColumn id="92" name="Drug Class7" dataDxfId="1132" totalsRowDxfId="1131">
      <calculatedColumnFormula>IFERROR(VLOOKUP(April[[#This Row],[Drug Name7]],'Data Options'!$R$1:$S$100,2,FALSE), " ")</calculatedColumnFormula>
    </tableColumn>
    <tableColumn id="94" name="Frequency7" dataDxfId="1130" totalsRowDxfId="1129"/>
    <tableColumn id="95" name="Route7" dataDxfId="1128" totalsRowDxfId="1127"/>
    <tableColumn id="99" name="Drug Name8" dataDxfId="1126" totalsRowDxfId="1125"/>
    <tableColumn id="100" name="Drug Class8" dataDxfId="1124" totalsRowDxfId="1123">
      <calculatedColumnFormula>IFERROR(VLOOKUP(April[[#This Row],[Drug Name8]],'Data Options'!$R$1:$S$100,2,FALSE), " ")</calculatedColumnFormula>
    </tableColumn>
    <tableColumn id="102" name="Frequency8" dataDxfId="1122" totalsRowDxfId="1121"/>
    <tableColumn id="103" name="Route8" dataDxfId="1120" totalsRowDxfId="1119"/>
    <tableColumn id="107" name="Drug Name9" dataDxfId="1118" totalsRowDxfId="1117"/>
    <tableColumn id="108" name="Drug Class9" dataDxfId="1116" totalsRowDxfId="1115">
      <calculatedColumnFormula>IFERROR(VLOOKUP(April[[#This Row],[Drug Name9]],'Data Options'!$R$1:$S$100,2,FALSE), " ")</calculatedColumnFormula>
    </tableColumn>
    <tableColumn id="110" name="Frequency9" dataDxfId="1114" totalsRowDxfId="1113"/>
    <tableColumn id="111" name="Route9" dataDxfId="1112" totalsRowDxfId="1111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id="18" name="May" displayName="May" ref="A3:BI202" totalsRowCount="1" headerRowDxfId="1110" dataDxfId="1108" totalsRowDxfId="1107" headerRowBorderDxfId="1109">
  <autoFilter ref="A3:BI201"/>
  <tableColumns count="61">
    <tableColumn id="1" name="Date of Service" totalsRowLabel="Total" dataDxfId="1106" totalsRowDxfId="1105"/>
    <tableColumn id="3" name="Attending Clinician" dataDxfId="1104" totalsRowDxfId="1103"/>
    <tableColumn id="4" name="Patient Medical Record Number" dataDxfId="1102" totalsRowDxfId="1101"/>
    <tableColumn id="5" name="Patient Species" dataDxfId="1100" totalsRowDxfId="1099"/>
    <tableColumn id="6" name="Patient Sex" dataDxfId="1098" totalsRowDxfId="1097"/>
    <tableColumn id="7" name="Patient Age" dataDxfId="1096" totalsRowDxfId="1095"/>
    <tableColumn id="8" name="Reason for Visit" dataDxfId="1094" totalsRowDxfId="1093"/>
    <tableColumn id="9" name="If Other Reason for Visit Explain" dataDxfId="1092" totalsRowDxfId="1091"/>
    <tableColumn id="10" name="Patient Prescribed Antibiotic (Y/N/WW)" dataDxfId="1090" totalsRowDxfId="1089"/>
    <tableColumn id="11" name="Total Number of Antibiotics Prescribed for Patient" dataDxfId="1088" totalsRowDxfId="1087"/>
    <tableColumn id="13" name="Disease/Infection Type" dataDxfId="1086" totalsRowDxfId="1085"/>
    <tableColumn id="14" name="If Other Disease/Infection Type Explain" dataDxfId="1084" totalsRowDxfId="1083"/>
    <tableColumn id="16" name="Number of Antibiotics Prescribed for this Condition " dataDxfId="1082" totalsRowDxfId="1081"/>
    <tableColumn id="17" name="Diagnostics Offered for Infectious Condition (Y/N)" dataDxfId="1080" totalsRowDxfId="1079"/>
    <tableColumn id="18" name="Diagnostic Performed for Infectious Condition (Y/N)" dataDxfId="1078" totalsRowDxfId="1077"/>
    <tableColumn id="23" name="Drug Name" dataDxfId="1076" totalsRowDxfId="1075"/>
    <tableColumn id="24" name="Drug Class" dataDxfId="1074" totalsRowDxfId="1073">
      <calculatedColumnFormula>IFERROR(VLOOKUP(May[[#This Row],[Drug Name]],'Data Options'!$R$1:$S$100,2,FALSE), " ")</calculatedColumnFormula>
    </tableColumn>
    <tableColumn id="26" name="Frequency" dataDxfId="1072" totalsRowDxfId="1071"/>
    <tableColumn id="27" name="Route" dataDxfId="1070" totalsRowDxfId="1069"/>
    <tableColumn id="31" name="Drug Name2" dataDxfId="1068" totalsRowDxfId="1067"/>
    <tableColumn id="32" name="Drug Class2" dataDxfId="1066" totalsRowDxfId="1065">
      <calculatedColumnFormula>IFERROR(VLOOKUP(May[[#This Row],[Drug Name2]],'Data Options'!$R$1:$S$100,2,FALSE), " ")</calculatedColumnFormula>
    </tableColumn>
    <tableColumn id="34" name="Frequency2" dataDxfId="1064" totalsRowDxfId="1063"/>
    <tableColumn id="35" name="Route2" dataDxfId="1062" totalsRowDxfId="1061"/>
    <tableColumn id="39" name="Drug Name3" dataDxfId="1060" totalsRowDxfId="1059"/>
    <tableColumn id="40" name="Drug Class3" dataDxfId="1058" totalsRowDxfId="1057">
      <calculatedColumnFormula>IFERROR(VLOOKUP(May[[#This Row],[Drug Name3]],'Data Options'!$R$1:$S$100,2,FALSE), " ")</calculatedColumnFormula>
    </tableColumn>
    <tableColumn id="42" name="Frequency3" dataDxfId="1056" totalsRowDxfId="1055"/>
    <tableColumn id="43" name="Route3" dataDxfId="1054" totalsRowDxfId="1053"/>
    <tableColumn id="47" name="Disease/Infection Type2" dataDxfId="1052" totalsRowDxfId="1051"/>
    <tableColumn id="48" name="If Other Disease/Infection Type Explain2" dataDxfId="1050" totalsRowDxfId="1049"/>
    <tableColumn id="50" name="Number of Antibiotics Prescribed for this Condition2" dataDxfId="1048" totalsRowDxfId="1047"/>
    <tableColumn id="51" name="Diagnostics Offered for Infectious Condition (Y/N)2" dataDxfId="1046" totalsRowDxfId="1045"/>
    <tableColumn id="52" name="Diagnostic Performed for Infectious Condition (Y/N)2" dataDxfId="1044" totalsRowDxfId="1043"/>
    <tableColumn id="57" name="Drug Name4" dataDxfId="1042" totalsRowDxfId="1041"/>
    <tableColumn id="58" name="Drug Class4" dataDxfId="1040" totalsRowDxfId="1039">
      <calculatedColumnFormula>IFERROR(VLOOKUP(May[[#This Row],[Drug Name4]],'Data Options'!$R$1:$S$100,2,FALSE), " ")</calculatedColumnFormula>
    </tableColumn>
    <tableColumn id="60" name="Frequency4" dataDxfId="1038" totalsRowDxfId="1037"/>
    <tableColumn id="61" name="Route4" dataDxfId="1036" totalsRowDxfId="1035"/>
    <tableColumn id="65" name="Drug Name5" dataDxfId="1034" totalsRowDxfId="1033"/>
    <tableColumn id="66" name="Drug Class5" dataDxfId="1032" totalsRowDxfId="1031">
      <calculatedColumnFormula>IFERROR(VLOOKUP(May[[#This Row],[Drug Name5]],'Data Options'!$R$1:$S$100,2,FALSE), " ")</calculatedColumnFormula>
    </tableColumn>
    <tableColumn id="68" name="Frequency5" dataDxfId="1030" totalsRowDxfId="1029"/>
    <tableColumn id="69" name="Route5" dataDxfId="1028" totalsRowDxfId="1027"/>
    <tableColumn id="73" name="Drug Name6" dataDxfId="1026" totalsRowDxfId="1025"/>
    <tableColumn id="74" name="Drug Class6" dataDxfId="1024" totalsRowDxfId="1023">
      <calculatedColumnFormula>IFERROR(VLOOKUP(May[[#This Row],[Drug Name6]],'Data Options'!$R$1:$S$100,2,FALSE), " ")</calculatedColumnFormula>
    </tableColumn>
    <tableColumn id="76" name="Frequency6" dataDxfId="1022" totalsRowDxfId="1021"/>
    <tableColumn id="77" name="Route6" dataDxfId="1020" totalsRowDxfId="1019"/>
    <tableColumn id="81" name="Disease/Infection Type3" dataDxfId="1018" totalsRowDxfId="1017"/>
    <tableColumn id="82" name="If Other Disease/Infection Type Explain3" dataDxfId="1016" totalsRowDxfId="1015"/>
    <tableColumn id="84" name="Number of Antibiotics Prescribed for this Condition3" dataDxfId="1014" totalsRowDxfId="1013"/>
    <tableColumn id="85" name="Diagnostics Offered for Infectious Condition (Y/N)3" dataDxfId="1012" totalsRowDxfId="1011"/>
    <tableColumn id="86" name="Diagnostic Performed for Infectious Condition (Y/N)3" dataDxfId="1010" totalsRowDxfId="1009"/>
    <tableColumn id="91" name="Drug Name7" dataDxfId="1008" totalsRowDxfId="1007"/>
    <tableColumn id="92" name="Drug Class7" dataDxfId="1006" totalsRowDxfId="1005">
      <calculatedColumnFormula>IFERROR(VLOOKUP(May[[#This Row],[Drug Name7]],'Data Options'!$R$1:$S$100,2,FALSE), " ")</calculatedColumnFormula>
    </tableColumn>
    <tableColumn id="94" name="Frequency7" dataDxfId="1004" totalsRowDxfId="1003"/>
    <tableColumn id="95" name="Route7" dataDxfId="1002" totalsRowDxfId="1001"/>
    <tableColumn id="99" name="Drug Name8" dataDxfId="1000" totalsRowDxfId="999"/>
    <tableColumn id="100" name="Drug Class8" dataDxfId="998" totalsRowDxfId="997">
      <calculatedColumnFormula>IFERROR(VLOOKUP(May[[#This Row],[Drug Name8]],'Data Options'!$R$1:$S$100,2,FALSE), " ")</calculatedColumnFormula>
    </tableColumn>
    <tableColumn id="102" name="Frequency8" dataDxfId="996" totalsRowDxfId="995"/>
    <tableColumn id="103" name="Route8" dataDxfId="994" totalsRowDxfId="993"/>
    <tableColumn id="107" name="Drug Name9" dataDxfId="992" totalsRowDxfId="991"/>
    <tableColumn id="108" name="Drug Class9" dataDxfId="990" totalsRowDxfId="989">
      <calculatedColumnFormula>IFERROR(VLOOKUP(May[[#This Row],[Drug Name9]],'Data Options'!$R$1:$S$100,2,FALSE), " ")</calculatedColumnFormula>
    </tableColumn>
    <tableColumn id="110" name="Frequency9" dataDxfId="988" totalsRowDxfId="987"/>
    <tableColumn id="111" name="Route9" dataDxfId="986" totalsRowDxfId="985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id="20" name="June" displayName="June" ref="A3:BI202" totalsRowCount="1" headerRowDxfId="984" dataDxfId="982" totalsRowDxfId="981" headerRowBorderDxfId="983">
  <autoFilter ref="A3:BI201"/>
  <tableColumns count="61">
    <tableColumn id="1" name="Date of Service" totalsRowLabel="Total" dataDxfId="980" totalsRowDxfId="979"/>
    <tableColumn id="3" name="Attending Clinician" dataDxfId="978" totalsRowDxfId="977"/>
    <tableColumn id="4" name="Patient Medical Record Number" dataDxfId="976" totalsRowDxfId="975"/>
    <tableColumn id="5" name="Patient Species" dataDxfId="974" totalsRowDxfId="973"/>
    <tableColumn id="6" name="Patient Sex" dataDxfId="972" totalsRowDxfId="971"/>
    <tableColumn id="7" name="Patient Age" dataDxfId="970" totalsRowDxfId="969"/>
    <tableColumn id="8" name="Reason for Visit" dataDxfId="968" totalsRowDxfId="967"/>
    <tableColumn id="9" name="If Other Reason for Visit Explain" dataDxfId="966" totalsRowDxfId="965"/>
    <tableColumn id="10" name="Patient Prescribed Antibiotic (Y/N/WW)" dataDxfId="964" totalsRowDxfId="963"/>
    <tableColumn id="11" name="Total Number of Antibiotics Prescribed for Patient" dataDxfId="962" totalsRowDxfId="961"/>
    <tableColumn id="13" name="Disease/Infection Type" dataDxfId="960" totalsRowDxfId="959"/>
    <tableColumn id="14" name="If Other Disease/Infection Type Explain" dataDxfId="958" totalsRowDxfId="957"/>
    <tableColumn id="16" name="Number of Antibiotics Prescribed for this Condition " dataDxfId="956" totalsRowDxfId="955"/>
    <tableColumn id="17" name="Diagnostics Offered for Infectious Condition (Y/N)" dataDxfId="954" totalsRowDxfId="953"/>
    <tableColumn id="18" name="Diagnostic Performed for Infectious Condition (Y/N)" dataDxfId="952" totalsRowDxfId="951"/>
    <tableColumn id="23" name="Drug Name" dataDxfId="950" totalsRowDxfId="949"/>
    <tableColumn id="24" name="Drug Class" dataDxfId="948" totalsRowDxfId="947">
      <calculatedColumnFormula>IFERROR(VLOOKUP(June[[#This Row],[Drug Name]],'Data Options'!$R$1:$S$100,2,FALSE), " ")</calculatedColumnFormula>
    </tableColumn>
    <tableColumn id="26" name="Frequency" dataDxfId="946" totalsRowDxfId="945"/>
    <tableColumn id="27" name="Route" dataDxfId="944" totalsRowDxfId="943"/>
    <tableColumn id="31" name="Drug Name2" dataDxfId="942" totalsRowDxfId="941"/>
    <tableColumn id="32" name="Drug Class2" dataDxfId="940" totalsRowDxfId="939">
      <calculatedColumnFormula>IFERROR(VLOOKUP(June[[#This Row],[Drug Name2]],'Data Options'!$R$1:$S$100,2,FALSE), " ")</calculatedColumnFormula>
    </tableColumn>
    <tableColumn id="34" name="Frequency2" dataDxfId="938" totalsRowDxfId="937"/>
    <tableColumn id="35" name="Route2" dataDxfId="936" totalsRowDxfId="935"/>
    <tableColumn id="39" name="Drug Name3" dataDxfId="934" totalsRowDxfId="933"/>
    <tableColumn id="40" name="Drug Class3" dataDxfId="932" totalsRowDxfId="931">
      <calculatedColumnFormula>IFERROR(VLOOKUP(June[[#This Row],[Drug Name3]],'Data Options'!$R$1:$S$100,2,FALSE), " ")</calculatedColumnFormula>
    </tableColumn>
    <tableColumn id="42" name="Frequency3" dataDxfId="930" totalsRowDxfId="929"/>
    <tableColumn id="43" name="Route3" dataDxfId="928" totalsRowDxfId="927"/>
    <tableColumn id="47" name="Disease/Infection Type2" dataDxfId="926" totalsRowDxfId="925"/>
    <tableColumn id="48" name="If Other Disease/Infection Type Explain2" dataDxfId="924" totalsRowDxfId="923"/>
    <tableColumn id="50" name="Number of Antibiotics Prescribed for this Condition2" dataDxfId="922" totalsRowDxfId="921"/>
    <tableColumn id="51" name="Diagnostics Offered for Infectious Condition (Y/N)2" dataDxfId="920" totalsRowDxfId="919"/>
    <tableColumn id="52" name="Diagnostic Performed for Infectious Condition (Y/N)2" dataDxfId="918" totalsRowDxfId="917"/>
    <tableColumn id="57" name="Drug Name4" dataDxfId="916" totalsRowDxfId="915"/>
    <tableColumn id="58" name="Drug Class4" dataDxfId="914" totalsRowDxfId="913">
      <calculatedColumnFormula>IFERROR(VLOOKUP(June[[#This Row],[Drug Name4]],'Data Options'!$R$1:$S$100,2,FALSE), " ")</calculatedColumnFormula>
    </tableColumn>
    <tableColumn id="60" name="Frequency4" dataDxfId="912" totalsRowDxfId="911"/>
    <tableColumn id="61" name="Route4" dataDxfId="910" totalsRowDxfId="909"/>
    <tableColumn id="65" name="Drug Name5" dataDxfId="908" totalsRowDxfId="907"/>
    <tableColumn id="66" name="Drug Class5" dataDxfId="906" totalsRowDxfId="905">
      <calculatedColumnFormula>IFERROR(VLOOKUP(June[[#This Row],[Drug Name5]],'Data Options'!$R$1:$S$100,2,FALSE), " ")</calculatedColumnFormula>
    </tableColumn>
    <tableColumn id="68" name="Frequency5" dataDxfId="904" totalsRowDxfId="903"/>
    <tableColumn id="69" name="Route5" dataDxfId="902" totalsRowDxfId="901"/>
    <tableColumn id="73" name="Drug Name6" dataDxfId="900" totalsRowDxfId="899"/>
    <tableColumn id="74" name="Drug Class6" dataDxfId="898" totalsRowDxfId="897">
      <calculatedColumnFormula>IFERROR(VLOOKUP(June[[#This Row],[Drug Name6]],'Data Options'!$R$1:$S$100,2,FALSE), " ")</calculatedColumnFormula>
    </tableColumn>
    <tableColumn id="76" name="Frequency6" dataDxfId="896" totalsRowDxfId="895"/>
    <tableColumn id="77" name="Route6" dataDxfId="894" totalsRowDxfId="893"/>
    <tableColumn id="81" name="Disease/Infection Type3" dataDxfId="892" totalsRowDxfId="891"/>
    <tableColumn id="82" name="If Other Disease/Infection Type Explain3" dataDxfId="890" totalsRowDxfId="889"/>
    <tableColumn id="84" name="Number of Antibiotics Prescribed for this Condition3" dataDxfId="888" totalsRowDxfId="887"/>
    <tableColumn id="85" name="Diagnostics Offered for Infectious Condition (Y/N)3" dataDxfId="886" totalsRowDxfId="885"/>
    <tableColumn id="86" name="Diagnostic Performed for Infectious Condition (Y/N)3" dataDxfId="884" totalsRowDxfId="883"/>
    <tableColumn id="91" name="Drug Name7" dataDxfId="882" totalsRowDxfId="881"/>
    <tableColumn id="92" name="Drug Class7" dataDxfId="880" totalsRowDxfId="879">
      <calculatedColumnFormula>IFERROR(VLOOKUP(June[[#This Row],[Drug Name7]],'Data Options'!$R$1:$S$100,2,FALSE), " ")</calculatedColumnFormula>
    </tableColumn>
    <tableColumn id="94" name="Frequency7" dataDxfId="878" totalsRowDxfId="877"/>
    <tableColumn id="95" name="Route7" dataDxfId="876" totalsRowDxfId="875"/>
    <tableColumn id="99" name="Drug Name8" dataDxfId="874" totalsRowDxfId="873"/>
    <tableColumn id="100" name="Drug Class8" dataDxfId="872" totalsRowDxfId="871">
      <calculatedColumnFormula>IFERROR(VLOOKUP(June[[#This Row],[Drug Name8]],'Data Options'!$R$1:$S$100,2,FALSE), " ")</calculatedColumnFormula>
    </tableColumn>
    <tableColumn id="102" name="Frequency8" dataDxfId="870" totalsRowDxfId="869"/>
    <tableColumn id="103" name="Route8" dataDxfId="868" totalsRowDxfId="867"/>
    <tableColumn id="107" name="Drug Name9" dataDxfId="866" totalsRowDxfId="865"/>
    <tableColumn id="108" name="Drug Class9" dataDxfId="864" totalsRowDxfId="863">
      <calculatedColumnFormula>IFERROR(VLOOKUP(June[[#This Row],[Drug Name9]],'Data Options'!$R$1:$S$100,2,FALSE), " ")</calculatedColumnFormula>
    </tableColumn>
    <tableColumn id="110" name="Frequency9" dataDxfId="862" totalsRowDxfId="861"/>
    <tableColumn id="111" name="Route9" dataDxfId="860" totalsRowDxfId="859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id="21" name="July" displayName="July" ref="A3:BI202" totalsRowCount="1" headerRowDxfId="858" dataDxfId="856" totalsRowDxfId="855" headerRowBorderDxfId="857">
  <autoFilter ref="A3:BI201"/>
  <tableColumns count="61">
    <tableColumn id="1" name="Date of Service" totalsRowLabel="Total" dataDxfId="854" totalsRowDxfId="853"/>
    <tableColumn id="3" name="Attending Clinician" dataDxfId="852" totalsRowDxfId="851"/>
    <tableColumn id="4" name="Patient Medical Record Number" dataDxfId="850" totalsRowDxfId="849"/>
    <tableColumn id="5" name="Patient Species" dataDxfId="848" totalsRowDxfId="847"/>
    <tableColumn id="6" name="Patient Sex" dataDxfId="846" totalsRowDxfId="845"/>
    <tableColumn id="7" name="Patient Age" dataDxfId="844" totalsRowDxfId="843"/>
    <tableColumn id="8" name="Reason for Visit" dataDxfId="842" totalsRowDxfId="841"/>
    <tableColumn id="9" name="If Other Reason for Visit Explain" dataDxfId="840" totalsRowDxfId="839"/>
    <tableColumn id="10" name="Patient Prescribed Antibiotic (Y/N/WW)" dataDxfId="838" totalsRowDxfId="837"/>
    <tableColumn id="11" name="Total Number of Antibiotics Prescribed for Patient" dataDxfId="836" totalsRowDxfId="835"/>
    <tableColumn id="13" name="Disease/Infection Type" dataDxfId="834" totalsRowDxfId="833"/>
    <tableColumn id="14" name="If Other Disease/Infection Type Explain" dataDxfId="832" totalsRowDxfId="831"/>
    <tableColumn id="16" name="Number of Antibiotics Prescribed for this Condition " dataDxfId="830" totalsRowDxfId="829"/>
    <tableColumn id="17" name="Diagnostics Offered for Infectious Condition (Y/N)" dataDxfId="828" totalsRowDxfId="827"/>
    <tableColumn id="18" name="Diagnostic Performed for Infectious Condition (Y/N)" dataDxfId="826" totalsRowDxfId="825"/>
    <tableColumn id="23" name="Drug Name" dataDxfId="824" totalsRowDxfId="823"/>
    <tableColumn id="24" name="Drug Class" dataDxfId="822" totalsRowDxfId="821">
      <calculatedColumnFormula>IFERROR(VLOOKUP(July[[#This Row],[Drug Name]],'Data Options'!$R$1:$S$100,2,FALSE), " ")</calculatedColumnFormula>
    </tableColumn>
    <tableColumn id="26" name="Frequency" dataDxfId="820" totalsRowDxfId="819"/>
    <tableColumn id="27" name="Route" dataDxfId="818" totalsRowDxfId="817"/>
    <tableColumn id="31" name="Drug Name2" dataDxfId="816" totalsRowDxfId="815"/>
    <tableColumn id="32" name="Drug Class2" dataDxfId="814" totalsRowDxfId="813">
      <calculatedColumnFormula>IFERROR(VLOOKUP(July[[#This Row],[Drug Name2]],'Data Options'!$R$1:$S$100,2,FALSE), " ")</calculatedColumnFormula>
    </tableColumn>
    <tableColumn id="34" name="Frequency2" dataDxfId="812" totalsRowDxfId="811"/>
    <tableColumn id="35" name="Route2" dataDxfId="810" totalsRowDxfId="809"/>
    <tableColumn id="39" name="Drug Name3" dataDxfId="808" totalsRowDxfId="807"/>
    <tableColumn id="40" name="Drug Class3" dataDxfId="806" totalsRowDxfId="805">
      <calculatedColumnFormula>IFERROR(VLOOKUP(July[[#This Row],[Drug Name3]],'Data Options'!$R$1:$S$100,2,FALSE), " ")</calculatedColumnFormula>
    </tableColumn>
    <tableColumn id="42" name="Frequency3" dataDxfId="804" totalsRowDxfId="803"/>
    <tableColumn id="43" name="Route3" dataDxfId="802" totalsRowDxfId="801"/>
    <tableColumn id="47" name="Disease/Infection Type2" dataDxfId="800" totalsRowDxfId="799"/>
    <tableColumn id="48" name="If Other Disease/Infection Type Explain2" dataDxfId="798" totalsRowDxfId="797"/>
    <tableColumn id="50" name="Number of Antibiotics Prescribed for this Condition2" dataDxfId="796" totalsRowDxfId="795"/>
    <tableColumn id="51" name="Diagnostics Offered for Infectious Condition (Y/N)2" dataDxfId="794" totalsRowDxfId="793"/>
    <tableColumn id="52" name="Diagnostic Performed for Infectious Condition (Y/N)2" dataDxfId="792" totalsRowDxfId="791"/>
    <tableColumn id="57" name="Drug Name4" dataDxfId="790" totalsRowDxfId="789"/>
    <tableColumn id="58" name="Drug Class4" dataDxfId="788" totalsRowDxfId="787">
      <calculatedColumnFormula>IFERROR(VLOOKUP(July[[#This Row],[Drug Name4]],'Data Options'!$R$1:$S$100,2,FALSE), " ")</calculatedColumnFormula>
    </tableColumn>
    <tableColumn id="60" name="Frequency4" dataDxfId="786" totalsRowDxfId="785"/>
    <tableColumn id="61" name="Route4" dataDxfId="784" totalsRowDxfId="783"/>
    <tableColumn id="65" name="Drug Name5" dataDxfId="782" totalsRowDxfId="781"/>
    <tableColumn id="66" name="Drug Class5" dataDxfId="780" totalsRowDxfId="779">
      <calculatedColumnFormula>IFERROR(VLOOKUP(July[[#This Row],[Drug Name5]],'Data Options'!$R$1:$S$100,2,FALSE), " ")</calculatedColumnFormula>
    </tableColumn>
    <tableColumn id="68" name="Frequency5" dataDxfId="778" totalsRowDxfId="777"/>
    <tableColumn id="69" name="Route5" dataDxfId="776" totalsRowDxfId="775"/>
    <tableColumn id="73" name="Drug Name6" dataDxfId="774" totalsRowDxfId="773"/>
    <tableColumn id="74" name="Drug Class6" dataDxfId="772" totalsRowDxfId="771">
      <calculatedColumnFormula>IFERROR(VLOOKUP(July[[#This Row],[Drug Name6]],'Data Options'!$R$1:$S$100,2,FALSE), " ")</calculatedColumnFormula>
    </tableColumn>
    <tableColumn id="76" name="Frequency6" dataDxfId="770" totalsRowDxfId="769"/>
    <tableColumn id="77" name="Route6" dataDxfId="768" totalsRowDxfId="767"/>
    <tableColumn id="81" name="Disease/Infection Type3" dataDxfId="766" totalsRowDxfId="765"/>
    <tableColumn id="82" name="If Other Disease/Infection Type Explain3" dataDxfId="764" totalsRowDxfId="763"/>
    <tableColumn id="84" name="Number of Antibiotics Prescribed for this Condition3" dataDxfId="762" totalsRowDxfId="761"/>
    <tableColumn id="85" name="Diagnostics Offered for Infectious Condition (Y/N)3" dataDxfId="760" totalsRowDxfId="759"/>
    <tableColumn id="86" name="Diagnostic Performed for Infectious Condition (Y/N)3" dataDxfId="758" totalsRowDxfId="757"/>
    <tableColumn id="91" name="Drug Name7" dataDxfId="756" totalsRowDxfId="755"/>
    <tableColumn id="92" name="Drug Class7" dataDxfId="754" totalsRowDxfId="753">
      <calculatedColumnFormula>IFERROR(VLOOKUP(July[[#This Row],[Drug Name7]],'Data Options'!$R$1:$S$100,2,FALSE), " ")</calculatedColumnFormula>
    </tableColumn>
    <tableColumn id="94" name="Frequency7" dataDxfId="752" totalsRowDxfId="751"/>
    <tableColumn id="95" name="Route7" dataDxfId="750" totalsRowDxfId="749"/>
    <tableColumn id="99" name="Drug Name8" dataDxfId="748" totalsRowDxfId="747"/>
    <tableColumn id="100" name="Drug Class8" dataDxfId="746" totalsRowDxfId="745">
      <calculatedColumnFormula>IFERROR(VLOOKUP(July[[#This Row],[Drug Name8]],'Data Options'!$R$1:$S$100,2,FALSE), " ")</calculatedColumnFormula>
    </tableColumn>
    <tableColumn id="102" name="Frequency8" dataDxfId="744" totalsRowDxfId="743"/>
    <tableColumn id="103" name="Route8" dataDxfId="742" totalsRowDxfId="741"/>
    <tableColumn id="107" name="Drug Name9" dataDxfId="740" totalsRowDxfId="739"/>
    <tableColumn id="108" name="Drug Class9" dataDxfId="738" totalsRowDxfId="737">
      <calculatedColumnFormula>IFERROR(VLOOKUP(July[[#This Row],[Drug Name9]],'Data Options'!$R$1:$S$100,2,FALSE), " ")</calculatedColumnFormula>
    </tableColumn>
    <tableColumn id="110" name="Frequency9" dataDxfId="736" totalsRowDxfId="735"/>
    <tableColumn id="111" name="Route9" dataDxfId="734" totalsRowDxfId="73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Berl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13" Type="http://schemas.openxmlformats.org/officeDocument/2006/relationships/table" Target="../tables/table27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6" Type="http://schemas.openxmlformats.org/officeDocument/2006/relationships/table" Target="../tables/table30.xml"/><Relationship Id="rId1" Type="http://schemas.openxmlformats.org/officeDocument/2006/relationships/table" Target="../tables/table15.xml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5" Type="http://schemas.openxmlformats.org/officeDocument/2006/relationships/table" Target="../tables/table2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Relationship Id="rId14" Type="http://schemas.openxmlformats.org/officeDocument/2006/relationships/table" Target="../tables/table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tabSelected="1" zoomScale="81" workbookViewId="0">
      <selection activeCell="C1" sqref="C1"/>
    </sheetView>
  </sheetViews>
  <sheetFormatPr defaultColWidth="10.6640625" defaultRowHeight="15.5"/>
  <cols>
    <col min="1" max="1" width="50.5" customWidth="1"/>
  </cols>
  <sheetData>
    <row r="1" spans="1:1" ht="67" customHeight="1"/>
    <row r="2" spans="1:1" ht="62" customHeight="1"/>
    <row r="3" spans="1:1" ht="27" customHeight="1">
      <c r="A3" s="8"/>
    </row>
    <row r="4" spans="1:1" ht="76" customHeight="1">
      <c r="A4" s="9"/>
    </row>
    <row r="5" spans="1:1" ht="124" customHeight="1">
      <c r="A5" s="10"/>
    </row>
    <row r="6" spans="1:1" ht="79" customHeight="1">
      <c r="A6" s="9"/>
    </row>
    <row r="7" spans="1:1" ht="40" customHeight="1">
      <c r="A7" s="7"/>
    </row>
    <row r="8" spans="1:1" ht="60" customHeight="1">
      <c r="A8" s="7"/>
    </row>
    <row r="9" spans="1:1" ht="61" customHeight="1"/>
  </sheetData>
  <sheetProtection algorithmName="SHA-512" hashValue="DhO5+bpX/c8trjtX6Xtw2zurQ4dZenyABiaWIbTuWpgrDksfrCHV7Ik2hoaKWFYXrHWIbpki1ofWP+ZVm256Iw==" saltValue="Uy8oYnIR7kj6P8ICC1Teg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workbookViewId="0">
      <selection activeCell="D18" sqref="D18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43952</v>
      </c>
      <c r="B4" s="52" t="s">
        <v>314</v>
      </c>
      <c r="C4" s="32">
        <v>20041</v>
      </c>
      <c r="D4" s="32" t="s">
        <v>12</v>
      </c>
      <c r="E4" s="32" t="s">
        <v>17</v>
      </c>
      <c r="F4" s="32" t="s">
        <v>218</v>
      </c>
      <c r="G4" s="32" t="s">
        <v>18</v>
      </c>
      <c r="H4" s="32"/>
      <c r="I4" s="32" t="s">
        <v>23</v>
      </c>
      <c r="J4" s="32">
        <v>0</v>
      </c>
      <c r="K4" s="32" t="s">
        <v>100</v>
      </c>
      <c r="L4" s="32"/>
      <c r="M4" s="32"/>
      <c r="N4" s="31"/>
      <c r="O4" s="31"/>
      <c r="P4" s="53"/>
      <c r="Q4" s="21" t="str">
        <f>IFERROR(VLOOKUP(May[[#This Row],[Drug Name]],'Data Options'!$R$1:$S$100,2,FALSE), " ")</f>
        <v xml:space="preserve"> </v>
      </c>
      <c r="R4" s="32"/>
      <c r="S4" s="32"/>
      <c r="T4" s="53"/>
      <c r="U4" s="21" t="str">
        <f>IFERROR(VLOOKUP(May[[#This Row],[Drug Name2]],'Data Options'!$R$1:$S$100,2,FALSE), " ")</f>
        <v xml:space="preserve"> </v>
      </c>
      <c r="V4" s="32"/>
      <c r="W4" s="32"/>
      <c r="X4" s="53"/>
      <c r="Y4" s="21" t="str">
        <f>IFERROR(VLOOKUP(May[[#This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21" t="str">
        <f>IFERROR(VLOOKUP(May[[#This Row],[Drug Name4]],'Data Options'!$R$1:$S$100,2,FALSE), " ")</f>
        <v xml:space="preserve"> </v>
      </c>
      <c r="AI4" s="32"/>
      <c r="AJ4" s="32"/>
      <c r="AK4" s="53"/>
      <c r="AL4" s="21" t="str">
        <f>IFERROR(VLOOKUP(May[[#This Row],[Drug Name5]],'Data Options'!$R$1:$S$100,2,FALSE), " ")</f>
        <v xml:space="preserve"> </v>
      </c>
      <c r="AM4" s="32"/>
      <c r="AN4" s="32"/>
      <c r="AO4" s="53"/>
      <c r="AP4" s="21" t="str">
        <f>IFERROR(VLOOKUP(May[[#This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21" t="str">
        <f>IFERROR(VLOOKUP(May[[#This Row],[Drug Name7]],'Data Options'!$R$1:$S$100,2,FALSE), " ")</f>
        <v xml:space="preserve"> </v>
      </c>
      <c r="AZ4" s="32"/>
      <c r="BA4" s="32"/>
      <c r="BB4" s="53"/>
      <c r="BC4" s="21" t="str">
        <f>IFERROR(VLOOKUP(May[[#This Row],[Drug Name8]],'Data Options'!$R$1:$S$100,2,FALSE), " ")</f>
        <v xml:space="preserve"> </v>
      </c>
      <c r="BD4" s="32"/>
      <c r="BE4" s="32"/>
      <c r="BF4" s="53"/>
      <c r="BG4" s="21" t="str">
        <f>IFERROR(VLOOKUP(May[[#This Row],[Drug Name9]],'Data Options'!$R$1:$S$100,2,FALSE), " ")</f>
        <v xml:space="preserve"> </v>
      </c>
      <c r="BH4" s="32"/>
      <c r="BI4" s="32"/>
    </row>
    <row r="5" spans="1:61">
      <c r="A5" s="51">
        <v>43953</v>
      </c>
      <c r="B5" s="52" t="s">
        <v>314</v>
      </c>
      <c r="C5" s="32">
        <v>20042</v>
      </c>
      <c r="D5" s="32" t="s">
        <v>13</v>
      </c>
      <c r="E5" s="32" t="s">
        <v>15</v>
      </c>
      <c r="F5" s="32" t="s">
        <v>219</v>
      </c>
      <c r="G5" s="32" t="s">
        <v>18</v>
      </c>
      <c r="H5" s="32"/>
      <c r="I5" s="32" t="s">
        <v>247</v>
      </c>
      <c r="J5" s="32">
        <v>0</v>
      </c>
      <c r="K5" s="32" t="s">
        <v>277</v>
      </c>
      <c r="L5" s="32"/>
      <c r="M5" s="32"/>
      <c r="N5" s="31"/>
      <c r="O5" s="31"/>
      <c r="P5" s="53"/>
      <c r="Q5" s="21" t="str">
        <f>IFERROR(VLOOKUP(May[[#This Row],[Drug Name]],'Data Options'!$R$1:$S$100,2,FALSE), " ")</f>
        <v xml:space="preserve"> </v>
      </c>
      <c r="R5" s="32"/>
      <c r="S5" s="32"/>
      <c r="T5" s="53"/>
      <c r="U5" s="21" t="str">
        <f>IFERROR(VLOOKUP(May[[#This Row],[Drug Name2]],'Data Options'!$R$1:$S$100,2,FALSE), " ")</f>
        <v xml:space="preserve"> </v>
      </c>
      <c r="V5" s="32"/>
      <c r="W5" s="32"/>
      <c r="X5" s="53"/>
      <c r="Y5" s="21" t="str">
        <f>IFERROR(VLOOKUP(May[[#This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21" t="str">
        <f>IFERROR(VLOOKUP(May[[#This Row],[Drug Name4]],'Data Options'!$R$1:$S$100,2,FALSE), " ")</f>
        <v xml:space="preserve"> </v>
      </c>
      <c r="AI5" s="32"/>
      <c r="AJ5" s="32"/>
      <c r="AK5" s="53"/>
      <c r="AL5" s="21" t="str">
        <f>IFERROR(VLOOKUP(May[[#This Row],[Drug Name5]],'Data Options'!$R$1:$S$100,2,FALSE), " ")</f>
        <v xml:space="preserve"> </v>
      </c>
      <c r="AM5" s="32"/>
      <c r="AN5" s="32"/>
      <c r="AO5" s="53"/>
      <c r="AP5" s="21" t="str">
        <f>IFERROR(VLOOKUP(May[[#This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21" t="str">
        <f>IFERROR(VLOOKUP(May[[#This Row],[Drug Name7]],'Data Options'!$R$1:$S$100,2,FALSE), " ")</f>
        <v xml:space="preserve"> </v>
      </c>
      <c r="AZ5" s="32"/>
      <c r="BA5" s="32"/>
      <c r="BB5" s="53"/>
      <c r="BC5" s="21" t="str">
        <f>IFERROR(VLOOKUP(May[[#This Row],[Drug Name8]],'Data Options'!$R$1:$S$100,2,FALSE), " ")</f>
        <v xml:space="preserve"> </v>
      </c>
      <c r="BD5" s="32"/>
      <c r="BE5" s="32"/>
      <c r="BF5" s="53"/>
      <c r="BG5" s="21" t="str">
        <f>IFERROR(VLOOKUP(May[[#This Row],[Drug Name9]],'Data Options'!$R$1:$S$100,2,FALSE), " ")</f>
        <v xml:space="preserve"> </v>
      </c>
      <c r="BH5" s="32"/>
      <c r="BI5" s="32"/>
    </row>
    <row r="6" spans="1:61" ht="31">
      <c r="A6" s="51">
        <v>43954</v>
      </c>
      <c r="B6" s="52" t="s">
        <v>314</v>
      </c>
      <c r="C6" s="32">
        <v>20043</v>
      </c>
      <c r="D6" s="32" t="s">
        <v>12</v>
      </c>
      <c r="E6" s="32" t="s">
        <v>15</v>
      </c>
      <c r="F6" s="32" t="s">
        <v>220</v>
      </c>
      <c r="G6" s="32" t="s">
        <v>19</v>
      </c>
      <c r="H6" s="32"/>
      <c r="I6" s="32" t="s">
        <v>22</v>
      </c>
      <c r="J6" s="32">
        <v>2</v>
      </c>
      <c r="K6" s="32" t="s">
        <v>245</v>
      </c>
      <c r="L6" s="32"/>
      <c r="M6" s="32">
        <v>1</v>
      </c>
      <c r="N6" s="31" t="s">
        <v>22</v>
      </c>
      <c r="O6" s="31" t="s">
        <v>22</v>
      </c>
      <c r="P6" s="53" t="s">
        <v>27</v>
      </c>
      <c r="Q6" s="21" t="str">
        <f>IFERROR(VLOOKUP(May[[#This Row],[Drug Name]],'Data Options'!$R$1:$S$100,2,FALSE), " ")</f>
        <v>Penicillins</v>
      </c>
      <c r="R6" s="32" t="s">
        <v>95</v>
      </c>
      <c r="S6" s="32" t="s">
        <v>89</v>
      </c>
      <c r="T6" s="53"/>
      <c r="U6" s="21" t="str">
        <f>IFERROR(VLOOKUP(May[[#This Row],[Drug Name2]],'Data Options'!$R$1:$S$100,2,FALSE), " ")</f>
        <v xml:space="preserve"> </v>
      </c>
      <c r="V6" s="32"/>
      <c r="W6" s="32"/>
      <c r="X6" s="53"/>
      <c r="Y6" s="21" t="str">
        <f>IFERROR(VLOOKUP(May[[#This Row],[Drug Name3]],'Data Options'!$R$1:$S$100,2,FALSE), " ")</f>
        <v xml:space="preserve"> </v>
      </c>
      <c r="Z6" s="32"/>
      <c r="AA6" s="32"/>
      <c r="AB6" s="32" t="s">
        <v>21</v>
      </c>
      <c r="AC6" s="32"/>
      <c r="AD6" s="32">
        <v>1</v>
      </c>
      <c r="AE6" s="31" t="s">
        <v>23</v>
      </c>
      <c r="AF6" s="31" t="s">
        <v>23</v>
      </c>
      <c r="AG6" s="53" t="s">
        <v>241</v>
      </c>
      <c r="AH6" s="21" t="str">
        <f>IFERROR(VLOOKUP(May[[#This Row],[Drug Name4]],'Data Options'!$R$1:$S$100,2,FALSE), " ")</f>
        <v>Cephalosporins</v>
      </c>
      <c r="AI6" s="32" t="s">
        <v>122</v>
      </c>
      <c r="AJ6" s="32" t="s">
        <v>93</v>
      </c>
      <c r="AK6" s="53"/>
      <c r="AL6" s="21" t="str">
        <f>IFERROR(VLOOKUP(May[[#This Row],[Drug Name5]],'Data Options'!$R$1:$S$100,2,FALSE), " ")</f>
        <v xml:space="preserve"> </v>
      </c>
      <c r="AM6" s="32"/>
      <c r="AN6" s="32"/>
      <c r="AO6" s="53"/>
      <c r="AP6" s="21" t="str">
        <f>IFERROR(VLOOKUP(May[[#This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21" t="str">
        <f>IFERROR(VLOOKUP(May[[#This Row],[Drug Name7]],'Data Options'!$R$1:$S$100,2,FALSE), " ")</f>
        <v xml:space="preserve"> </v>
      </c>
      <c r="AZ6" s="32"/>
      <c r="BA6" s="32"/>
      <c r="BB6" s="53"/>
      <c r="BC6" s="21" t="str">
        <f>IFERROR(VLOOKUP(May[[#This Row],[Drug Name8]],'Data Options'!$R$1:$S$100,2,FALSE), " ")</f>
        <v xml:space="preserve"> </v>
      </c>
      <c r="BD6" s="32"/>
      <c r="BE6" s="32"/>
      <c r="BF6" s="53"/>
      <c r="BG6" s="21" t="str">
        <f>IFERROR(VLOOKUP(May[[#This Row],[Drug Name9]],'Data Options'!$R$1:$S$100,2,FALSE), " ")</f>
        <v xml:space="preserve"> </v>
      </c>
      <c r="BH6" s="32"/>
      <c r="BI6" s="32"/>
    </row>
    <row r="7" spans="1:61" ht="62">
      <c r="A7" s="51">
        <v>43955</v>
      </c>
      <c r="B7" s="52" t="s">
        <v>314</v>
      </c>
      <c r="C7" s="32">
        <v>20044</v>
      </c>
      <c r="D7" s="32" t="s">
        <v>13</v>
      </c>
      <c r="E7" s="32" t="s">
        <v>17</v>
      </c>
      <c r="F7" s="32" t="s">
        <v>221</v>
      </c>
      <c r="G7" s="32" t="s">
        <v>20</v>
      </c>
      <c r="H7" s="32"/>
      <c r="I7" s="32" t="s">
        <v>22</v>
      </c>
      <c r="J7" s="32">
        <v>3</v>
      </c>
      <c r="K7" s="32" t="s">
        <v>224</v>
      </c>
      <c r="L7" s="32"/>
      <c r="M7" s="32">
        <v>1</v>
      </c>
      <c r="N7" s="31" t="s">
        <v>22</v>
      </c>
      <c r="O7" s="31" t="s">
        <v>23</v>
      </c>
      <c r="P7" s="53" t="s">
        <v>251</v>
      </c>
      <c r="Q7" s="21" t="str">
        <f>IFERROR(VLOOKUP(May[[#This Row],[Drug Name]],'Data Options'!$R$1:$S$100,2,FALSE), " ")</f>
        <v>Ophthalmic</v>
      </c>
      <c r="R7" s="32" t="s">
        <v>95</v>
      </c>
      <c r="S7" s="32" t="s">
        <v>98</v>
      </c>
      <c r="T7" s="53"/>
      <c r="U7" s="21" t="str">
        <f>IFERROR(VLOOKUP(May[[#This Row],[Drug Name2]],'Data Options'!$R$1:$S$100,2,FALSE), " ")</f>
        <v xml:space="preserve"> </v>
      </c>
      <c r="V7" s="32"/>
      <c r="W7" s="32"/>
      <c r="X7" s="53"/>
      <c r="Y7" s="21" t="str">
        <f>IFERROR(VLOOKUP(May[[#This Row],[Drug Name3]],'Data Options'!$R$1:$S$100,2,FALSE), " ")</f>
        <v xml:space="preserve"> </v>
      </c>
      <c r="Z7" s="32"/>
      <c r="AA7" s="32"/>
      <c r="AB7" s="32" t="s">
        <v>101</v>
      </c>
      <c r="AC7" s="32"/>
      <c r="AD7" s="32">
        <v>1</v>
      </c>
      <c r="AE7" s="31" t="s">
        <v>22</v>
      </c>
      <c r="AF7" s="31" t="s">
        <v>22</v>
      </c>
      <c r="AG7" s="53" t="s">
        <v>39</v>
      </c>
      <c r="AH7" s="21" t="str">
        <f>IFERROR(VLOOKUP(May[[#This Row],[Drug Name4]],'Data Options'!$R$1:$S$100,2,FALSE), " ")</f>
        <v>Tetracyclines</v>
      </c>
      <c r="AI7" s="32" t="s">
        <v>92</v>
      </c>
      <c r="AJ7" s="32" t="s">
        <v>89</v>
      </c>
      <c r="AK7" s="53"/>
      <c r="AL7" s="21" t="str">
        <f>IFERROR(VLOOKUP(May[[#This Row],[Drug Name5]],'Data Options'!$R$1:$S$100,2,FALSE), " ")</f>
        <v xml:space="preserve"> </v>
      </c>
      <c r="AM7" s="32"/>
      <c r="AN7" s="32"/>
      <c r="AO7" s="53"/>
      <c r="AP7" s="21" t="str">
        <f>IFERROR(VLOOKUP(May[[#This Row],[Drug Name6]],'Data Options'!$R$1:$S$100,2,FALSE), " ")</f>
        <v xml:space="preserve"> </v>
      </c>
      <c r="AQ7" s="32"/>
      <c r="AR7" s="32"/>
      <c r="AS7" s="32" t="s">
        <v>291</v>
      </c>
      <c r="AT7" s="32"/>
      <c r="AU7" s="32">
        <v>1</v>
      </c>
      <c r="AV7" s="31" t="s">
        <v>22</v>
      </c>
      <c r="AW7" s="31" t="s">
        <v>22</v>
      </c>
      <c r="AX7" s="53" t="s">
        <v>313</v>
      </c>
      <c r="AY7" s="21" t="str">
        <f>IFERROR(VLOOKUP(May[[#This Row],[Drug Name7]],'Data Options'!$R$1:$S$100,2,FALSE), " ")</f>
        <v>Otic</v>
      </c>
      <c r="AZ7" s="32" t="s">
        <v>92</v>
      </c>
      <c r="BA7" s="32" t="s">
        <v>98</v>
      </c>
      <c r="BB7" s="53"/>
      <c r="BC7" s="21" t="str">
        <f>IFERROR(VLOOKUP(May[[#This Row],[Drug Name8]],'Data Options'!$R$1:$S$100,2,FALSE), " ")</f>
        <v xml:space="preserve"> </v>
      </c>
      <c r="BD7" s="32"/>
      <c r="BE7" s="32"/>
      <c r="BF7" s="53"/>
      <c r="BG7" s="21" t="str">
        <f>IFERROR(VLOOKUP(May[[#This Row],[Drug Name9]],'Data Options'!$R$1:$S$100,2,FALSE), " ")</f>
        <v xml:space="preserve"> </v>
      </c>
      <c r="BH7" s="32"/>
      <c r="BI7" s="32"/>
    </row>
    <row r="8" spans="1:61">
      <c r="A8" s="51">
        <v>43956</v>
      </c>
      <c r="B8" s="52" t="s">
        <v>314</v>
      </c>
      <c r="C8" s="32">
        <v>20045</v>
      </c>
      <c r="D8" s="32" t="s">
        <v>12</v>
      </c>
      <c r="E8" s="32" t="s">
        <v>14</v>
      </c>
      <c r="F8" s="32" t="s">
        <v>117</v>
      </c>
      <c r="G8" s="32" t="s">
        <v>20</v>
      </c>
      <c r="H8" s="32"/>
      <c r="I8" s="32" t="s">
        <v>22</v>
      </c>
      <c r="J8" s="32">
        <v>1</v>
      </c>
      <c r="K8" s="32" t="s">
        <v>222</v>
      </c>
      <c r="L8" s="32"/>
      <c r="M8" s="32">
        <v>1</v>
      </c>
      <c r="N8" s="31" t="s">
        <v>22</v>
      </c>
      <c r="O8" s="31" t="s">
        <v>22</v>
      </c>
      <c r="P8" s="53" t="s">
        <v>39</v>
      </c>
      <c r="Q8" s="21" t="str">
        <f>IFERROR(VLOOKUP(May[[#This Row],[Drug Name]],'Data Options'!$R$1:$S$100,2,FALSE), " ")</f>
        <v>Tetracyclines</v>
      </c>
      <c r="R8" s="32" t="s">
        <v>92</v>
      </c>
      <c r="S8" s="32" t="s">
        <v>89</v>
      </c>
      <c r="T8" s="53"/>
      <c r="U8" s="21" t="str">
        <f>IFERROR(VLOOKUP(May[[#This Row],[Drug Name2]],'Data Options'!$R$1:$S$100,2,FALSE), " ")</f>
        <v xml:space="preserve"> </v>
      </c>
      <c r="V8" s="32"/>
      <c r="W8" s="32"/>
      <c r="X8" s="53"/>
      <c r="Y8" s="21" t="str">
        <f>IFERROR(VLOOKUP(May[[#This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21" t="str">
        <f>IFERROR(VLOOKUP(May[[#This Row],[Drug Name4]],'Data Options'!$R$1:$S$100,2,FALSE), " ")</f>
        <v xml:space="preserve"> </v>
      </c>
      <c r="AI8" s="32"/>
      <c r="AJ8" s="32"/>
      <c r="AK8" s="53"/>
      <c r="AL8" s="21" t="str">
        <f>IFERROR(VLOOKUP(May[[#This Row],[Drug Name5]],'Data Options'!$R$1:$S$100,2,FALSE), " ")</f>
        <v xml:space="preserve"> </v>
      </c>
      <c r="AM8" s="32"/>
      <c r="AN8" s="32"/>
      <c r="AO8" s="53"/>
      <c r="AP8" s="21" t="str">
        <f>IFERROR(VLOOKUP(May[[#This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21" t="str">
        <f>IFERROR(VLOOKUP(May[[#This Row],[Drug Name7]],'Data Options'!$R$1:$S$100,2,FALSE), " ")</f>
        <v xml:space="preserve"> </v>
      </c>
      <c r="AZ8" s="32"/>
      <c r="BA8" s="32"/>
      <c r="BB8" s="53"/>
      <c r="BC8" s="21" t="str">
        <f>IFERROR(VLOOKUP(May[[#This Row],[Drug Name8]],'Data Options'!$R$1:$S$100,2,FALSE), " ")</f>
        <v xml:space="preserve"> </v>
      </c>
      <c r="BD8" s="32"/>
      <c r="BE8" s="32"/>
      <c r="BF8" s="53"/>
      <c r="BG8" s="21" t="str">
        <f>IFERROR(VLOOKUP(May[[#This Row],[Drug Name9]],'Data Options'!$R$1:$S$100,2,FALSE), " ")</f>
        <v xml:space="preserve"> </v>
      </c>
      <c r="BH8" s="32"/>
      <c r="BI8" s="32"/>
    </row>
    <row r="9" spans="1:61">
      <c r="A9" s="51">
        <v>43957</v>
      </c>
      <c r="B9" s="52" t="s">
        <v>314</v>
      </c>
      <c r="C9" s="32">
        <v>20046</v>
      </c>
      <c r="D9" s="32" t="s">
        <v>13</v>
      </c>
      <c r="E9" s="32" t="s">
        <v>15</v>
      </c>
      <c r="F9" s="32" t="s">
        <v>123</v>
      </c>
      <c r="G9" s="32" t="s">
        <v>292</v>
      </c>
      <c r="H9" s="32"/>
      <c r="I9" s="32" t="s">
        <v>23</v>
      </c>
      <c r="J9" s="32">
        <v>0</v>
      </c>
      <c r="K9" s="32" t="s">
        <v>64</v>
      </c>
      <c r="L9" s="32"/>
      <c r="M9" s="32"/>
      <c r="N9" s="31"/>
      <c r="O9" s="31"/>
      <c r="P9" s="53"/>
      <c r="Q9" s="21" t="str">
        <f>IFERROR(VLOOKUP(May[[#This Row],[Drug Name]],'Data Options'!$R$1:$S$100,2,FALSE), " ")</f>
        <v xml:space="preserve"> </v>
      </c>
      <c r="R9" s="32"/>
      <c r="S9" s="32"/>
      <c r="T9" s="53"/>
      <c r="U9" s="21" t="str">
        <f>IFERROR(VLOOKUP(May[[#This Row],[Drug Name2]],'Data Options'!$R$1:$S$100,2,FALSE), " ")</f>
        <v xml:space="preserve"> </v>
      </c>
      <c r="V9" s="32"/>
      <c r="W9" s="32"/>
      <c r="X9" s="53"/>
      <c r="Y9" s="21" t="str">
        <f>IFERROR(VLOOKUP(May[[#This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21" t="str">
        <f>IFERROR(VLOOKUP(May[[#This Row],[Drug Name4]],'Data Options'!$R$1:$S$100,2,FALSE), " ")</f>
        <v xml:space="preserve"> </v>
      </c>
      <c r="AI9" s="32"/>
      <c r="AJ9" s="32"/>
      <c r="AK9" s="53"/>
      <c r="AL9" s="21" t="str">
        <f>IFERROR(VLOOKUP(May[[#This Row],[Drug Name5]],'Data Options'!$R$1:$S$100,2,FALSE), " ")</f>
        <v xml:space="preserve"> </v>
      </c>
      <c r="AM9" s="32"/>
      <c r="AN9" s="32"/>
      <c r="AO9" s="53"/>
      <c r="AP9" s="21" t="str">
        <f>IFERROR(VLOOKUP(May[[#This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21" t="str">
        <f>IFERROR(VLOOKUP(May[[#This Row],[Drug Name7]],'Data Options'!$R$1:$S$100,2,FALSE), " ")</f>
        <v xml:space="preserve"> </v>
      </c>
      <c r="AZ9" s="32"/>
      <c r="BA9" s="32"/>
      <c r="BB9" s="53"/>
      <c r="BC9" s="21" t="str">
        <f>IFERROR(VLOOKUP(May[[#This Row],[Drug Name8]],'Data Options'!$R$1:$S$100,2,FALSE), " ")</f>
        <v xml:space="preserve"> </v>
      </c>
      <c r="BD9" s="32"/>
      <c r="BE9" s="32"/>
      <c r="BF9" s="53"/>
      <c r="BG9" s="21" t="str">
        <f>IFERROR(VLOOKUP(May[[#This Row],[Drug Name9]],'Data Options'!$R$1:$S$100,2,FALSE), " ")</f>
        <v xml:space="preserve"> </v>
      </c>
      <c r="BH9" s="32"/>
      <c r="BI9" s="32"/>
    </row>
    <row r="10" spans="1:61" ht="31">
      <c r="A10" s="51">
        <v>43958</v>
      </c>
      <c r="B10" s="52" t="s">
        <v>314</v>
      </c>
      <c r="C10" s="32">
        <v>20047</v>
      </c>
      <c r="D10" s="32" t="s">
        <v>12</v>
      </c>
      <c r="E10" s="32" t="s">
        <v>17</v>
      </c>
      <c r="F10" s="32" t="s">
        <v>117</v>
      </c>
      <c r="G10" s="32" t="s">
        <v>149</v>
      </c>
      <c r="H10" s="32"/>
      <c r="I10" s="32" t="s">
        <v>22</v>
      </c>
      <c r="J10" s="32">
        <v>1</v>
      </c>
      <c r="K10" s="32" t="s">
        <v>90</v>
      </c>
      <c r="L10" s="32"/>
      <c r="M10" s="32">
        <v>1</v>
      </c>
      <c r="N10" s="31" t="s">
        <v>23</v>
      </c>
      <c r="O10" s="31" t="s">
        <v>23</v>
      </c>
      <c r="P10" s="53" t="s">
        <v>38</v>
      </c>
      <c r="Q10" s="21" t="str">
        <f>IFERROR(VLOOKUP(May[[#This Row],[Drug Name]],'Data Options'!$R$1:$S$100,2,FALSE), " ")</f>
        <v>Lincosamides</v>
      </c>
      <c r="R10" s="32" t="s">
        <v>92</v>
      </c>
      <c r="S10" s="32" t="s">
        <v>89</v>
      </c>
      <c r="T10" s="53"/>
      <c r="U10" s="21" t="str">
        <f>IFERROR(VLOOKUP(May[[#This Row],[Drug Name2]],'Data Options'!$R$1:$S$100,2,FALSE), " ")</f>
        <v xml:space="preserve"> </v>
      </c>
      <c r="V10" s="32"/>
      <c r="W10" s="32"/>
      <c r="X10" s="53"/>
      <c r="Y10" s="21" t="str">
        <f>IFERROR(VLOOKUP(May[[#This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21" t="str">
        <f>IFERROR(VLOOKUP(May[[#This Row],[Drug Name4]],'Data Options'!$R$1:$S$100,2,FALSE), " ")</f>
        <v xml:space="preserve"> </v>
      </c>
      <c r="AI10" s="32"/>
      <c r="AJ10" s="32"/>
      <c r="AK10" s="53"/>
      <c r="AL10" s="21" t="str">
        <f>IFERROR(VLOOKUP(May[[#This Row],[Drug Name5]],'Data Options'!$R$1:$S$100,2,FALSE), " ")</f>
        <v xml:space="preserve"> </v>
      </c>
      <c r="AM10" s="32"/>
      <c r="AN10" s="32"/>
      <c r="AO10" s="53"/>
      <c r="AP10" s="21" t="str">
        <f>IFERROR(VLOOKUP(May[[#This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21" t="str">
        <f>IFERROR(VLOOKUP(May[[#This Row],[Drug Name7]],'Data Options'!$R$1:$S$100,2,FALSE), " ")</f>
        <v xml:space="preserve"> </v>
      </c>
      <c r="AZ10" s="32"/>
      <c r="BA10" s="32"/>
      <c r="BB10" s="53"/>
      <c r="BC10" s="21" t="str">
        <f>IFERROR(VLOOKUP(May[[#This Row],[Drug Name8]],'Data Options'!$R$1:$S$100,2,FALSE), " ")</f>
        <v xml:space="preserve"> </v>
      </c>
      <c r="BD10" s="32"/>
      <c r="BE10" s="32"/>
      <c r="BF10" s="53"/>
      <c r="BG10" s="21" t="str">
        <f>IFERROR(VLOOKUP(May[[#This Row],[Drug Name9]],'Data Options'!$R$1:$S$100,2,FALSE), " ")</f>
        <v xml:space="preserve"> </v>
      </c>
      <c r="BH10" s="32"/>
      <c r="BI10" s="32"/>
    </row>
    <row r="11" spans="1:61">
      <c r="A11" s="51">
        <v>43959</v>
      </c>
      <c r="B11" s="52" t="s">
        <v>314</v>
      </c>
      <c r="C11" s="32">
        <v>20048</v>
      </c>
      <c r="D11" s="32" t="s">
        <v>13</v>
      </c>
      <c r="E11" s="32" t="s">
        <v>17</v>
      </c>
      <c r="F11" s="32" t="s">
        <v>218</v>
      </c>
      <c r="G11" s="32" t="s">
        <v>20</v>
      </c>
      <c r="H11" s="32"/>
      <c r="I11" s="32" t="s">
        <v>22</v>
      </c>
      <c r="J11" s="32">
        <v>1</v>
      </c>
      <c r="K11" s="32" t="s">
        <v>223</v>
      </c>
      <c r="L11" s="32"/>
      <c r="M11" s="32">
        <v>1</v>
      </c>
      <c r="N11" s="31" t="s">
        <v>22</v>
      </c>
      <c r="O11" s="31" t="s">
        <v>22</v>
      </c>
      <c r="P11" s="53" t="s">
        <v>27</v>
      </c>
      <c r="Q11" s="21" t="str">
        <f>IFERROR(VLOOKUP(May[[#This Row],[Drug Name]],'Data Options'!$R$1:$S$100,2,FALSE), " ")</f>
        <v>Penicillins</v>
      </c>
      <c r="R11" s="32" t="s">
        <v>92</v>
      </c>
      <c r="S11" s="32" t="s">
        <v>89</v>
      </c>
      <c r="T11" s="53"/>
      <c r="U11" s="21" t="str">
        <f>IFERROR(VLOOKUP(May[[#This Row],[Drug Name2]],'Data Options'!$R$1:$S$100,2,FALSE), " ")</f>
        <v xml:space="preserve"> </v>
      </c>
      <c r="V11" s="32"/>
      <c r="W11" s="32"/>
      <c r="X11" s="53"/>
      <c r="Y11" s="21" t="str">
        <f>IFERROR(VLOOKUP(May[[#This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21" t="str">
        <f>IFERROR(VLOOKUP(May[[#This Row],[Drug Name4]],'Data Options'!$R$1:$S$100,2,FALSE), " ")</f>
        <v xml:space="preserve"> </v>
      </c>
      <c r="AI11" s="32"/>
      <c r="AJ11" s="32"/>
      <c r="AK11" s="53"/>
      <c r="AL11" s="21" t="str">
        <f>IFERROR(VLOOKUP(May[[#This Row],[Drug Name5]],'Data Options'!$R$1:$S$100,2,FALSE), " ")</f>
        <v xml:space="preserve"> </v>
      </c>
      <c r="AM11" s="32"/>
      <c r="AN11" s="32"/>
      <c r="AO11" s="53"/>
      <c r="AP11" s="21" t="str">
        <f>IFERROR(VLOOKUP(May[[#This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21" t="str">
        <f>IFERROR(VLOOKUP(May[[#This Row],[Drug Name7]],'Data Options'!$R$1:$S$100,2,FALSE), " ")</f>
        <v xml:space="preserve"> </v>
      </c>
      <c r="AZ11" s="32"/>
      <c r="BA11" s="32"/>
      <c r="BB11" s="53"/>
      <c r="BC11" s="21" t="str">
        <f>IFERROR(VLOOKUP(May[[#This Row],[Drug Name8]],'Data Options'!$R$1:$S$100,2,FALSE), " ")</f>
        <v xml:space="preserve"> </v>
      </c>
      <c r="BD11" s="32"/>
      <c r="BE11" s="32"/>
      <c r="BF11" s="53"/>
      <c r="BG11" s="21" t="str">
        <f>IFERROR(VLOOKUP(May[[#This Row],[Drug Name9]],'Data Options'!$R$1:$S$100,2,FALSE), " ")</f>
        <v xml:space="preserve"> </v>
      </c>
      <c r="BH11" s="32"/>
      <c r="BI11" s="32"/>
    </row>
    <row r="12" spans="1:61">
      <c r="A12" s="51">
        <v>43960</v>
      </c>
      <c r="B12" s="52" t="s">
        <v>314</v>
      </c>
      <c r="C12" s="32">
        <v>20049</v>
      </c>
      <c r="D12" s="32" t="s">
        <v>12</v>
      </c>
      <c r="E12" s="32" t="s">
        <v>16</v>
      </c>
      <c r="F12" s="32" t="s">
        <v>219</v>
      </c>
      <c r="G12" s="32" t="s">
        <v>19</v>
      </c>
      <c r="H12" s="32"/>
      <c r="I12" s="32" t="s">
        <v>23</v>
      </c>
      <c r="J12" s="32">
        <v>0</v>
      </c>
      <c r="K12" s="32" t="s">
        <v>276</v>
      </c>
      <c r="L12" s="32"/>
      <c r="M12" s="32"/>
      <c r="N12" s="31" t="s">
        <v>22</v>
      </c>
      <c r="O12" s="31" t="s">
        <v>23</v>
      </c>
      <c r="P12" s="53"/>
      <c r="Q12" s="21" t="str">
        <f>IFERROR(VLOOKUP(May[[#This Row],[Drug Name]],'Data Options'!$R$1:$S$100,2,FALSE), " ")</f>
        <v xml:space="preserve"> </v>
      </c>
      <c r="R12" s="32"/>
      <c r="S12" s="32"/>
      <c r="T12" s="53"/>
      <c r="U12" s="21" t="str">
        <f>IFERROR(VLOOKUP(May[[#This Row],[Drug Name2]],'Data Options'!$R$1:$S$100,2,FALSE), " ")</f>
        <v xml:space="preserve"> </v>
      </c>
      <c r="V12" s="32"/>
      <c r="W12" s="32"/>
      <c r="X12" s="53"/>
      <c r="Y12" s="21" t="str">
        <f>IFERROR(VLOOKUP(May[[#This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21" t="str">
        <f>IFERROR(VLOOKUP(May[[#This Row],[Drug Name4]],'Data Options'!$R$1:$S$100,2,FALSE), " ")</f>
        <v xml:space="preserve"> </v>
      </c>
      <c r="AI12" s="32"/>
      <c r="AJ12" s="32"/>
      <c r="AK12" s="53"/>
      <c r="AL12" s="21" t="str">
        <f>IFERROR(VLOOKUP(May[[#This Row],[Drug Name5]],'Data Options'!$R$1:$S$100,2,FALSE), " ")</f>
        <v xml:space="preserve"> </v>
      </c>
      <c r="AM12" s="32"/>
      <c r="AN12" s="32"/>
      <c r="AO12" s="53"/>
      <c r="AP12" s="21" t="str">
        <f>IFERROR(VLOOKUP(May[[#This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21" t="str">
        <f>IFERROR(VLOOKUP(May[[#This Row],[Drug Name7]],'Data Options'!$R$1:$S$100,2,FALSE), " ")</f>
        <v xml:space="preserve"> </v>
      </c>
      <c r="AZ12" s="32"/>
      <c r="BA12" s="32"/>
      <c r="BB12" s="53"/>
      <c r="BC12" s="21" t="str">
        <f>IFERROR(VLOOKUP(May[[#This Row],[Drug Name8]],'Data Options'!$R$1:$S$100,2,FALSE), " ")</f>
        <v xml:space="preserve"> </v>
      </c>
      <c r="BD12" s="32"/>
      <c r="BE12" s="32"/>
      <c r="BF12" s="53"/>
      <c r="BG12" s="21" t="str">
        <f>IFERROR(VLOOKUP(May[[#This Row],[Drug Name9]],'Data Options'!$R$1:$S$100,2,FALSE), " ")</f>
        <v xml:space="preserve"> </v>
      </c>
      <c r="BH12" s="32"/>
      <c r="BI12" s="32"/>
    </row>
    <row r="13" spans="1:61">
      <c r="A13" s="51">
        <v>43961</v>
      </c>
      <c r="B13" s="52" t="s">
        <v>314</v>
      </c>
      <c r="C13" s="32">
        <v>20050</v>
      </c>
      <c r="D13" s="32" t="s">
        <v>13</v>
      </c>
      <c r="E13" s="32" t="s">
        <v>15</v>
      </c>
      <c r="F13" s="32" t="s">
        <v>221</v>
      </c>
      <c r="G13" s="32" t="s">
        <v>18</v>
      </c>
      <c r="H13" s="32"/>
      <c r="I13" s="32" t="s">
        <v>23</v>
      </c>
      <c r="J13" s="32">
        <v>0</v>
      </c>
      <c r="K13" s="32" t="s">
        <v>21</v>
      </c>
      <c r="L13" s="32"/>
      <c r="M13" s="32"/>
      <c r="N13" s="31"/>
      <c r="O13" s="31"/>
      <c r="P13" s="53"/>
      <c r="Q13" s="21" t="str">
        <f>IFERROR(VLOOKUP(May[[#This Row],[Drug Name]],'Data Options'!$R$1:$S$100,2,FALSE), " ")</f>
        <v xml:space="preserve"> </v>
      </c>
      <c r="R13" s="32"/>
      <c r="S13" s="32"/>
      <c r="T13" s="53"/>
      <c r="U13" s="21" t="str">
        <f>IFERROR(VLOOKUP(May[[#This Row],[Drug Name2]],'Data Options'!$R$1:$S$100,2,FALSE), " ")</f>
        <v xml:space="preserve"> </v>
      </c>
      <c r="V13" s="32"/>
      <c r="W13" s="32"/>
      <c r="X13" s="53"/>
      <c r="Y13" s="21" t="str">
        <f>IFERROR(VLOOKUP(May[[#This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21" t="str">
        <f>IFERROR(VLOOKUP(May[[#This Row],[Drug Name4]],'Data Options'!$R$1:$S$100,2,FALSE), " ")</f>
        <v xml:space="preserve"> </v>
      </c>
      <c r="AI13" s="32"/>
      <c r="AJ13" s="32"/>
      <c r="AK13" s="53"/>
      <c r="AL13" s="21" t="str">
        <f>IFERROR(VLOOKUP(May[[#This Row],[Drug Name5]],'Data Options'!$R$1:$S$100,2,FALSE), " ")</f>
        <v xml:space="preserve"> </v>
      </c>
      <c r="AM13" s="32"/>
      <c r="AN13" s="32"/>
      <c r="AO13" s="53"/>
      <c r="AP13" s="21" t="str">
        <f>IFERROR(VLOOKUP(May[[#This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21" t="str">
        <f>IFERROR(VLOOKUP(May[[#This Row],[Drug Name7]],'Data Options'!$R$1:$S$100,2,FALSE), " ")</f>
        <v xml:space="preserve"> </v>
      </c>
      <c r="AZ13" s="32"/>
      <c r="BA13" s="32"/>
      <c r="BB13" s="53"/>
      <c r="BC13" s="21" t="str">
        <f>IFERROR(VLOOKUP(May[[#This Row],[Drug Name8]],'Data Options'!$R$1:$S$100,2,FALSE), " ")</f>
        <v xml:space="preserve"> </v>
      </c>
      <c r="BD13" s="32"/>
      <c r="BE13" s="32"/>
      <c r="BF13" s="53"/>
      <c r="BG13" s="21" t="str">
        <f>IFERROR(VLOOKUP(May[[#This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21" t="str">
        <f>IFERROR(VLOOKUP(May[[#This Row],[Drug Name]],'Data Options'!$R$1:$S$100,2,FALSE), " ")</f>
        <v xml:space="preserve"> </v>
      </c>
      <c r="R14" s="32"/>
      <c r="S14" s="32"/>
      <c r="T14" s="53"/>
      <c r="U14" s="21" t="str">
        <f>IFERROR(VLOOKUP(May[[#This Row],[Drug Name2]],'Data Options'!$R$1:$S$100,2,FALSE), " ")</f>
        <v xml:space="preserve"> </v>
      </c>
      <c r="V14" s="32"/>
      <c r="W14" s="32"/>
      <c r="X14" s="53"/>
      <c r="Y14" s="21" t="str">
        <f>IFERROR(VLOOKUP(May[[#This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21" t="str">
        <f>IFERROR(VLOOKUP(May[[#This Row],[Drug Name4]],'Data Options'!$R$1:$S$100,2,FALSE), " ")</f>
        <v xml:space="preserve"> </v>
      </c>
      <c r="AI14" s="32"/>
      <c r="AJ14" s="32"/>
      <c r="AK14" s="53"/>
      <c r="AL14" s="21" t="str">
        <f>IFERROR(VLOOKUP(May[[#This Row],[Drug Name5]],'Data Options'!$R$1:$S$100,2,FALSE), " ")</f>
        <v xml:space="preserve"> </v>
      </c>
      <c r="AM14" s="32"/>
      <c r="AN14" s="32"/>
      <c r="AO14" s="53"/>
      <c r="AP14" s="21" t="str">
        <f>IFERROR(VLOOKUP(May[[#This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21" t="str">
        <f>IFERROR(VLOOKUP(May[[#This Row],[Drug Name7]],'Data Options'!$R$1:$S$100,2,FALSE), " ")</f>
        <v xml:space="preserve"> </v>
      </c>
      <c r="AZ14" s="32"/>
      <c r="BA14" s="32"/>
      <c r="BB14" s="53"/>
      <c r="BC14" s="21" t="str">
        <f>IFERROR(VLOOKUP(May[[#This Row],[Drug Name8]],'Data Options'!$R$1:$S$100,2,FALSE), " ")</f>
        <v xml:space="preserve"> </v>
      </c>
      <c r="BD14" s="32"/>
      <c r="BE14" s="32"/>
      <c r="BF14" s="53"/>
      <c r="BG14" s="21" t="str">
        <f>IFERROR(VLOOKUP(May[[#This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21" t="str">
        <f>IFERROR(VLOOKUP(May[[#This Row],[Drug Name]],'Data Options'!$R$1:$S$100,2,FALSE), " ")</f>
        <v xml:space="preserve"> </v>
      </c>
      <c r="R15" s="32"/>
      <c r="S15" s="32"/>
      <c r="T15" s="53"/>
      <c r="U15" s="21" t="str">
        <f>IFERROR(VLOOKUP(May[[#This Row],[Drug Name2]],'Data Options'!$R$1:$S$100,2,FALSE), " ")</f>
        <v xml:space="preserve"> </v>
      </c>
      <c r="V15" s="32"/>
      <c r="W15" s="32"/>
      <c r="X15" s="53"/>
      <c r="Y15" s="21" t="str">
        <f>IFERROR(VLOOKUP(May[[#This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21" t="str">
        <f>IFERROR(VLOOKUP(May[[#This Row],[Drug Name4]],'Data Options'!$R$1:$S$100,2,FALSE), " ")</f>
        <v xml:space="preserve"> </v>
      </c>
      <c r="AI15" s="32"/>
      <c r="AJ15" s="32"/>
      <c r="AK15" s="53"/>
      <c r="AL15" s="21" t="str">
        <f>IFERROR(VLOOKUP(May[[#This Row],[Drug Name5]],'Data Options'!$R$1:$S$100,2,FALSE), " ")</f>
        <v xml:space="preserve"> </v>
      </c>
      <c r="AM15" s="32"/>
      <c r="AN15" s="32"/>
      <c r="AO15" s="53"/>
      <c r="AP15" s="21" t="str">
        <f>IFERROR(VLOOKUP(May[[#This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21" t="str">
        <f>IFERROR(VLOOKUP(May[[#This Row],[Drug Name7]],'Data Options'!$R$1:$S$100,2,FALSE), " ")</f>
        <v xml:space="preserve"> </v>
      </c>
      <c r="AZ15" s="32"/>
      <c r="BA15" s="32"/>
      <c r="BB15" s="53"/>
      <c r="BC15" s="21" t="str">
        <f>IFERROR(VLOOKUP(May[[#This Row],[Drug Name8]],'Data Options'!$R$1:$S$100,2,FALSE), " ")</f>
        <v xml:space="preserve"> </v>
      </c>
      <c r="BD15" s="32"/>
      <c r="BE15" s="32"/>
      <c r="BF15" s="53"/>
      <c r="BG15" s="21" t="str">
        <f>IFERROR(VLOOKUP(May[[#This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21" t="str">
        <f>IFERROR(VLOOKUP(May[[#This Row],[Drug Name]],'Data Options'!$R$1:$S$100,2,FALSE), " ")</f>
        <v xml:space="preserve"> </v>
      </c>
      <c r="R16" s="32"/>
      <c r="S16" s="32"/>
      <c r="T16" s="53"/>
      <c r="U16" s="21" t="str">
        <f>IFERROR(VLOOKUP(May[[#This Row],[Drug Name2]],'Data Options'!$R$1:$S$100,2,FALSE), " ")</f>
        <v xml:space="preserve"> </v>
      </c>
      <c r="V16" s="32"/>
      <c r="W16" s="32"/>
      <c r="X16" s="53"/>
      <c r="Y16" s="21" t="str">
        <f>IFERROR(VLOOKUP(May[[#This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21" t="str">
        <f>IFERROR(VLOOKUP(May[[#This Row],[Drug Name4]],'Data Options'!$R$1:$S$100,2,FALSE), " ")</f>
        <v xml:space="preserve"> </v>
      </c>
      <c r="AI16" s="32"/>
      <c r="AJ16" s="32"/>
      <c r="AK16" s="53"/>
      <c r="AL16" s="21" t="str">
        <f>IFERROR(VLOOKUP(May[[#This Row],[Drug Name5]],'Data Options'!$R$1:$S$100,2,FALSE), " ")</f>
        <v xml:space="preserve"> </v>
      </c>
      <c r="AM16" s="32"/>
      <c r="AN16" s="32"/>
      <c r="AO16" s="53"/>
      <c r="AP16" s="21" t="str">
        <f>IFERROR(VLOOKUP(May[[#This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21" t="str">
        <f>IFERROR(VLOOKUP(May[[#This Row],[Drug Name7]],'Data Options'!$R$1:$S$100,2,FALSE), " ")</f>
        <v xml:space="preserve"> </v>
      </c>
      <c r="AZ16" s="32"/>
      <c r="BA16" s="32"/>
      <c r="BB16" s="53"/>
      <c r="BC16" s="21" t="str">
        <f>IFERROR(VLOOKUP(May[[#This Row],[Drug Name8]],'Data Options'!$R$1:$S$100,2,FALSE), " ")</f>
        <v xml:space="preserve"> </v>
      </c>
      <c r="BD16" s="32"/>
      <c r="BE16" s="32"/>
      <c r="BF16" s="53"/>
      <c r="BG16" s="21" t="str">
        <f>IFERROR(VLOOKUP(May[[#This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21" t="str">
        <f>IFERROR(VLOOKUP(May[[#This Row],[Drug Name]],'Data Options'!$R$1:$S$100,2,FALSE), " ")</f>
        <v xml:space="preserve"> </v>
      </c>
      <c r="R17" s="32"/>
      <c r="S17" s="32"/>
      <c r="T17" s="53"/>
      <c r="U17" s="21" t="str">
        <f>IFERROR(VLOOKUP(May[[#This Row],[Drug Name2]],'Data Options'!$R$1:$S$100,2,FALSE), " ")</f>
        <v xml:space="preserve"> </v>
      </c>
      <c r="V17" s="32"/>
      <c r="W17" s="32"/>
      <c r="X17" s="53"/>
      <c r="Y17" s="21" t="str">
        <f>IFERROR(VLOOKUP(May[[#This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21" t="str">
        <f>IFERROR(VLOOKUP(May[[#This Row],[Drug Name4]],'Data Options'!$R$1:$S$100,2,FALSE), " ")</f>
        <v xml:space="preserve"> </v>
      </c>
      <c r="AI17" s="32"/>
      <c r="AJ17" s="32"/>
      <c r="AK17" s="53"/>
      <c r="AL17" s="21" t="str">
        <f>IFERROR(VLOOKUP(May[[#This Row],[Drug Name5]],'Data Options'!$R$1:$S$100,2,FALSE), " ")</f>
        <v xml:space="preserve"> </v>
      </c>
      <c r="AM17" s="32"/>
      <c r="AN17" s="32"/>
      <c r="AO17" s="53"/>
      <c r="AP17" s="21" t="str">
        <f>IFERROR(VLOOKUP(May[[#This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21" t="str">
        <f>IFERROR(VLOOKUP(May[[#This Row],[Drug Name7]],'Data Options'!$R$1:$S$100,2,FALSE), " ")</f>
        <v xml:space="preserve"> </v>
      </c>
      <c r="AZ17" s="32"/>
      <c r="BA17" s="32"/>
      <c r="BB17" s="53"/>
      <c r="BC17" s="21" t="str">
        <f>IFERROR(VLOOKUP(May[[#This Row],[Drug Name8]],'Data Options'!$R$1:$S$100,2,FALSE), " ")</f>
        <v xml:space="preserve"> </v>
      </c>
      <c r="BD17" s="32"/>
      <c r="BE17" s="32"/>
      <c r="BF17" s="53"/>
      <c r="BG17" s="21" t="str">
        <f>IFERROR(VLOOKUP(May[[#This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21" t="str">
        <f>IFERROR(VLOOKUP(May[[#This Row],[Drug Name]],'Data Options'!$R$1:$S$100,2,FALSE), " ")</f>
        <v xml:space="preserve"> </v>
      </c>
      <c r="R18" s="32"/>
      <c r="S18" s="32"/>
      <c r="T18" s="53"/>
      <c r="U18" s="21" t="str">
        <f>IFERROR(VLOOKUP(May[[#This Row],[Drug Name2]],'Data Options'!$R$1:$S$100,2,FALSE), " ")</f>
        <v xml:space="preserve"> </v>
      </c>
      <c r="V18" s="32"/>
      <c r="W18" s="32"/>
      <c r="X18" s="53"/>
      <c r="Y18" s="21" t="str">
        <f>IFERROR(VLOOKUP(May[[#This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21" t="str">
        <f>IFERROR(VLOOKUP(May[[#This Row],[Drug Name4]],'Data Options'!$R$1:$S$100,2,FALSE), " ")</f>
        <v xml:space="preserve"> </v>
      </c>
      <c r="AI18" s="32"/>
      <c r="AJ18" s="32"/>
      <c r="AK18" s="53"/>
      <c r="AL18" s="21" t="str">
        <f>IFERROR(VLOOKUP(May[[#This Row],[Drug Name5]],'Data Options'!$R$1:$S$100,2,FALSE), " ")</f>
        <v xml:space="preserve"> </v>
      </c>
      <c r="AM18" s="32"/>
      <c r="AN18" s="32"/>
      <c r="AO18" s="53"/>
      <c r="AP18" s="21" t="str">
        <f>IFERROR(VLOOKUP(May[[#This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21" t="str">
        <f>IFERROR(VLOOKUP(May[[#This Row],[Drug Name7]],'Data Options'!$R$1:$S$100,2,FALSE), " ")</f>
        <v xml:space="preserve"> </v>
      </c>
      <c r="AZ18" s="32"/>
      <c r="BA18" s="32"/>
      <c r="BB18" s="53"/>
      <c r="BC18" s="21" t="str">
        <f>IFERROR(VLOOKUP(May[[#This Row],[Drug Name8]],'Data Options'!$R$1:$S$100,2,FALSE), " ")</f>
        <v xml:space="preserve"> </v>
      </c>
      <c r="BD18" s="32"/>
      <c r="BE18" s="32"/>
      <c r="BF18" s="53"/>
      <c r="BG18" s="21" t="str">
        <f>IFERROR(VLOOKUP(May[[#This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21" t="str">
        <f>IFERROR(VLOOKUP(May[[#This Row],[Drug Name]],'Data Options'!$R$1:$S$100,2,FALSE), " ")</f>
        <v xml:space="preserve"> </v>
      </c>
      <c r="R19" s="32"/>
      <c r="S19" s="32"/>
      <c r="T19" s="53"/>
      <c r="U19" s="21" t="str">
        <f>IFERROR(VLOOKUP(May[[#This Row],[Drug Name2]],'Data Options'!$R$1:$S$100,2,FALSE), " ")</f>
        <v xml:space="preserve"> </v>
      </c>
      <c r="V19" s="32"/>
      <c r="W19" s="32"/>
      <c r="X19" s="53"/>
      <c r="Y19" s="21" t="str">
        <f>IFERROR(VLOOKUP(May[[#This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21" t="str">
        <f>IFERROR(VLOOKUP(May[[#This Row],[Drug Name4]],'Data Options'!$R$1:$S$100,2,FALSE), " ")</f>
        <v xml:space="preserve"> </v>
      </c>
      <c r="AI19" s="32"/>
      <c r="AJ19" s="32"/>
      <c r="AK19" s="53"/>
      <c r="AL19" s="21" t="str">
        <f>IFERROR(VLOOKUP(May[[#This Row],[Drug Name5]],'Data Options'!$R$1:$S$100,2,FALSE), " ")</f>
        <v xml:space="preserve"> </v>
      </c>
      <c r="AM19" s="32"/>
      <c r="AN19" s="32"/>
      <c r="AO19" s="53"/>
      <c r="AP19" s="21" t="str">
        <f>IFERROR(VLOOKUP(May[[#This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21" t="str">
        <f>IFERROR(VLOOKUP(May[[#This Row],[Drug Name7]],'Data Options'!$R$1:$S$100,2,FALSE), " ")</f>
        <v xml:space="preserve"> </v>
      </c>
      <c r="AZ19" s="32"/>
      <c r="BA19" s="32"/>
      <c r="BB19" s="53"/>
      <c r="BC19" s="21" t="str">
        <f>IFERROR(VLOOKUP(May[[#This Row],[Drug Name8]],'Data Options'!$R$1:$S$100,2,FALSE), " ")</f>
        <v xml:space="preserve"> </v>
      </c>
      <c r="BD19" s="32"/>
      <c r="BE19" s="32"/>
      <c r="BF19" s="53"/>
      <c r="BG19" s="21" t="str">
        <f>IFERROR(VLOOKUP(May[[#This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21" t="str">
        <f>IFERROR(VLOOKUP(May[[#This Row],[Drug Name]],'Data Options'!$R$1:$S$100,2,FALSE), " ")</f>
        <v xml:space="preserve"> </v>
      </c>
      <c r="R20" s="32"/>
      <c r="S20" s="32"/>
      <c r="T20" s="53"/>
      <c r="U20" s="21" t="str">
        <f>IFERROR(VLOOKUP(May[[#This Row],[Drug Name2]],'Data Options'!$R$1:$S$100,2,FALSE), " ")</f>
        <v xml:space="preserve"> </v>
      </c>
      <c r="V20" s="32"/>
      <c r="W20" s="32"/>
      <c r="X20" s="53"/>
      <c r="Y20" s="21" t="str">
        <f>IFERROR(VLOOKUP(May[[#This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21" t="str">
        <f>IFERROR(VLOOKUP(May[[#This Row],[Drug Name4]],'Data Options'!$R$1:$S$100,2,FALSE), " ")</f>
        <v xml:space="preserve"> </v>
      </c>
      <c r="AI20" s="32"/>
      <c r="AJ20" s="32"/>
      <c r="AK20" s="53"/>
      <c r="AL20" s="21" t="str">
        <f>IFERROR(VLOOKUP(May[[#This Row],[Drug Name5]],'Data Options'!$R$1:$S$100,2,FALSE), " ")</f>
        <v xml:space="preserve"> </v>
      </c>
      <c r="AM20" s="32"/>
      <c r="AN20" s="32"/>
      <c r="AO20" s="53"/>
      <c r="AP20" s="21" t="str">
        <f>IFERROR(VLOOKUP(May[[#This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21" t="str">
        <f>IFERROR(VLOOKUP(May[[#This Row],[Drug Name7]],'Data Options'!$R$1:$S$100,2,FALSE), " ")</f>
        <v xml:space="preserve"> </v>
      </c>
      <c r="AZ20" s="32"/>
      <c r="BA20" s="32"/>
      <c r="BB20" s="53"/>
      <c r="BC20" s="21" t="str">
        <f>IFERROR(VLOOKUP(May[[#This Row],[Drug Name8]],'Data Options'!$R$1:$S$100,2,FALSE), " ")</f>
        <v xml:space="preserve"> </v>
      </c>
      <c r="BD20" s="32"/>
      <c r="BE20" s="32"/>
      <c r="BF20" s="53"/>
      <c r="BG20" s="21" t="str">
        <f>IFERROR(VLOOKUP(May[[#This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21" t="str">
        <f>IFERROR(VLOOKUP(May[[#This Row],[Drug Name]],'Data Options'!$R$1:$S$100,2,FALSE), " ")</f>
        <v xml:space="preserve"> </v>
      </c>
      <c r="R21" s="32"/>
      <c r="S21" s="32"/>
      <c r="T21" s="53"/>
      <c r="U21" s="21" t="str">
        <f>IFERROR(VLOOKUP(May[[#This Row],[Drug Name2]],'Data Options'!$R$1:$S$100,2,FALSE), " ")</f>
        <v xml:space="preserve"> </v>
      </c>
      <c r="V21" s="32"/>
      <c r="W21" s="32"/>
      <c r="X21" s="53"/>
      <c r="Y21" s="21" t="str">
        <f>IFERROR(VLOOKUP(May[[#This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21" t="str">
        <f>IFERROR(VLOOKUP(May[[#This Row],[Drug Name4]],'Data Options'!$R$1:$S$100,2,FALSE), " ")</f>
        <v xml:space="preserve"> </v>
      </c>
      <c r="AI21" s="32"/>
      <c r="AJ21" s="32"/>
      <c r="AK21" s="53"/>
      <c r="AL21" s="21" t="str">
        <f>IFERROR(VLOOKUP(May[[#This Row],[Drug Name5]],'Data Options'!$R$1:$S$100,2,FALSE), " ")</f>
        <v xml:space="preserve"> </v>
      </c>
      <c r="AM21" s="32"/>
      <c r="AN21" s="32"/>
      <c r="AO21" s="53"/>
      <c r="AP21" s="21" t="str">
        <f>IFERROR(VLOOKUP(May[[#This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21" t="str">
        <f>IFERROR(VLOOKUP(May[[#This Row],[Drug Name7]],'Data Options'!$R$1:$S$100,2,FALSE), " ")</f>
        <v xml:space="preserve"> </v>
      </c>
      <c r="AZ21" s="32"/>
      <c r="BA21" s="32"/>
      <c r="BB21" s="53"/>
      <c r="BC21" s="21" t="str">
        <f>IFERROR(VLOOKUP(May[[#This Row],[Drug Name8]],'Data Options'!$R$1:$S$100,2,FALSE), " ")</f>
        <v xml:space="preserve"> </v>
      </c>
      <c r="BD21" s="32"/>
      <c r="BE21" s="32"/>
      <c r="BF21" s="53"/>
      <c r="BG21" s="21" t="str">
        <f>IFERROR(VLOOKUP(May[[#This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21" t="str">
        <f>IFERROR(VLOOKUP(May[[#This Row],[Drug Name]],'Data Options'!$R$1:$S$100,2,FALSE), " ")</f>
        <v xml:space="preserve"> </v>
      </c>
      <c r="R22" s="32"/>
      <c r="S22" s="32"/>
      <c r="T22" s="53"/>
      <c r="U22" s="21" t="str">
        <f>IFERROR(VLOOKUP(May[[#This Row],[Drug Name2]],'Data Options'!$R$1:$S$100,2,FALSE), " ")</f>
        <v xml:space="preserve"> </v>
      </c>
      <c r="V22" s="32"/>
      <c r="W22" s="32"/>
      <c r="X22" s="53"/>
      <c r="Y22" s="21" t="str">
        <f>IFERROR(VLOOKUP(May[[#This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21" t="str">
        <f>IFERROR(VLOOKUP(May[[#This Row],[Drug Name4]],'Data Options'!$R$1:$S$100,2,FALSE), " ")</f>
        <v xml:space="preserve"> </v>
      </c>
      <c r="AI22" s="32"/>
      <c r="AJ22" s="32"/>
      <c r="AK22" s="53"/>
      <c r="AL22" s="21" t="str">
        <f>IFERROR(VLOOKUP(May[[#This Row],[Drug Name5]],'Data Options'!$R$1:$S$100,2,FALSE), " ")</f>
        <v xml:space="preserve"> </v>
      </c>
      <c r="AM22" s="32"/>
      <c r="AN22" s="32"/>
      <c r="AO22" s="53"/>
      <c r="AP22" s="21" t="str">
        <f>IFERROR(VLOOKUP(May[[#This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21" t="str">
        <f>IFERROR(VLOOKUP(May[[#This Row],[Drug Name7]],'Data Options'!$R$1:$S$100,2,FALSE), " ")</f>
        <v xml:space="preserve"> </v>
      </c>
      <c r="AZ22" s="32"/>
      <c r="BA22" s="32"/>
      <c r="BB22" s="53"/>
      <c r="BC22" s="21" t="str">
        <f>IFERROR(VLOOKUP(May[[#This Row],[Drug Name8]],'Data Options'!$R$1:$S$100,2,FALSE), " ")</f>
        <v xml:space="preserve"> </v>
      </c>
      <c r="BD22" s="32"/>
      <c r="BE22" s="32"/>
      <c r="BF22" s="53"/>
      <c r="BG22" s="21" t="str">
        <f>IFERROR(VLOOKUP(May[[#This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21" t="str">
        <f>IFERROR(VLOOKUP(May[[#This Row],[Drug Name]],'Data Options'!$R$1:$S$100,2,FALSE), " ")</f>
        <v xml:space="preserve"> </v>
      </c>
      <c r="R23" s="32"/>
      <c r="S23" s="32"/>
      <c r="T23" s="53"/>
      <c r="U23" s="21" t="str">
        <f>IFERROR(VLOOKUP(May[[#This Row],[Drug Name2]],'Data Options'!$R$1:$S$100,2,FALSE), " ")</f>
        <v xml:space="preserve"> </v>
      </c>
      <c r="V23" s="32"/>
      <c r="W23" s="32"/>
      <c r="X23" s="53"/>
      <c r="Y23" s="21" t="str">
        <f>IFERROR(VLOOKUP(May[[#This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21" t="str">
        <f>IFERROR(VLOOKUP(May[[#This Row],[Drug Name4]],'Data Options'!$R$1:$S$100,2,FALSE), " ")</f>
        <v xml:space="preserve"> </v>
      </c>
      <c r="AI23" s="32"/>
      <c r="AJ23" s="32"/>
      <c r="AK23" s="53"/>
      <c r="AL23" s="21" t="str">
        <f>IFERROR(VLOOKUP(May[[#This Row],[Drug Name5]],'Data Options'!$R$1:$S$100,2,FALSE), " ")</f>
        <v xml:space="preserve"> </v>
      </c>
      <c r="AM23" s="32"/>
      <c r="AN23" s="32"/>
      <c r="AO23" s="53"/>
      <c r="AP23" s="21" t="str">
        <f>IFERROR(VLOOKUP(May[[#This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21" t="str">
        <f>IFERROR(VLOOKUP(May[[#This Row],[Drug Name7]],'Data Options'!$R$1:$S$100,2,FALSE), " ")</f>
        <v xml:space="preserve"> </v>
      </c>
      <c r="AZ23" s="32"/>
      <c r="BA23" s="32"/>
      <c r="BB23" s="53"/>
      <c r="BC23" s="21" t="str">
        <f>IFERROR(VLOOKUP(May[[#This Row],[Drug Name8]],'Data Options'!$R$1:$S$100,2,FALSE), " ")</f>
        <v xml:space="preserve"> </v>
      </c>
      <c r="BD23" s="32"/>
      <c r="BE23" s="32"/>
      <c r="BF23" s="53"/>
      <c r="BG23" s="21" t="str">
        <f>IFERROR(VLOOKUP(May[[#This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21" t="str">
        <f>IFERROR(VLOOKUP(May[[#This Row],[Drug Name]],'Data Options'!$R$1:$S$100,2,FALSE), " ")</f>
        <v xml:space="preserve"> </v>
      </c>
      <c r="R24" s="32"/>
      <c r="S24" s="32"/>
      <c r="T24" s="53"/>
      <c r="U24" s="21" t="str">
        <f>IFERROR(VLOOKUP(May[[#This Row],[Drug Name2]],'Data Options'!$R$1:$S$100,2,FALSE), " ")</f>
        <v xml:space="preserve"> </v>
      </c>
      <c r="V24" s="32"/>
      <c r="W24" s="32"/>
      <c r="X24" s="53"/>
      <c r="Y24" s="21" t="str">
        <f>IFERROR(VLOOKUP(May[[#This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21" t="str">
        <f>IFERROR(VLOOKUP(May[[#This Row],[Drug Name4]],'Data Options'!$R$1:$S$100,2,FALSE), " ")</f>
        <v xml:space="preserve"> </v>
      </c>
      <c r="AI24" s="32"/>
      <c r="AJ24" s="32"/>
      <c r="AK24" s="53"/>
      <c r="AL24" s="21" t="str">
        <f>IFERROR(VLOOKUP(May[[#This Row],[Drug Name5]],'Data Options'!$R$1:$S$100,2,FALSE), " ")</f>
        <v xml:space="preserve"> </v>
      </c>
      <c r="AM24" s="32"/>
      <c r="AN24" s="32"/>
      <c r="AO24" s="53"/>
      <c r="AP24" s="21" t="str">
        <f>IFERROR(VLOOKUP(May[[#This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21" t="str">
        <f>IFERROR(VLOOKUP(May[[#This Row],[Drug Name7]],'Data Options'!$R$1:$S$100,2,FALSE), " ")</f>
        <v xml:space="preserve"> </v>
      </c>
      <c r="AZ24" s="32"/>
      <c r="BA24" s="32"/>
      <c r="BB24" s="53"/>
      <c r="BC24" s="21" t="str">
        <f>IFERROR(VLOOKUP(May[[#This Row],[Drug Name8]],'Data Options'!$R$1:$S$100,2,FALSE), " ")</f>
        <v xml:space="preserve"> </v>
      </c>
      <c r="BD24" s="32"/>
      <c r="BE24" s="32"/>
      <c r="BF24" s="53"/>
      <c r="BG24" s="21" t="str">
        <f>IFERROR(VLOOKUP(May[[#This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21" t="str">
        <f>IFERROR(VLOOKUP(May[[#This Row],[Drug Name]],'Data Options'!$R$1:$S$100,2,FALSE), " ")</f>
        <v xml:space="preserve"> </v>
      </c>
      <c r="R25" s="32"/>
      <c r="S25" s="32"/>
      <c r="T25" s="53"/>
      <c r="U25" s="21" t="str">
        <f>IFERROR(VLOOKUP(May[[#This Row],[Drug Name2]],'Data Options'!$R$1:$S$100,2,FALSE), " ")</f>
        <v xml:space="preserve"> </v>
      </c>
      <c r="V25" s="32"/>
      <c r="W25" s="32"/>
      <c r="X25" s="53"/>
      <c r="Y25" s="21" t="str">
        <f>IFERROR(VLOOKUP(May[[#This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21" t="str">
        <f>IFERROR(VLOOKUP(May[[#This Row],[Drug Name4]],'Data Options'!$R$1:$S$100,2,FALSE), " ")</f>
        <v xml:space="preserve"> </v>
      </c>
      <c r="AI25" s="32"/>
      <c r="AJ25" s="32"/>
      <c r="AK25" s="53"/>
      <c r="AL25" s="21" t="str">
        <f>IFERROR(VLOOKUP(May[[#This Row],[Drug Name5]],'Data Options'!$R$1:$S$100,2,FALSE), " ")</f>
        <v xml:space="preserve"> </v>
      </c>
      <c r="AM25" s="32"/>
      <c r="AN25" s="32"/>
      <c r="AO25" s="53"/>
      <c r="AP25" s="21" t="str">
        <f>IFERROR(VLOOKUP(May[[#This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21" t="str">
        <f>IFERROR(VLOOKUP(May[[#This Row],[Drug Name7]],'Data Options'!$R$1:$S$100,2,FALSE), " ")</f>
        <v xml:space="preserve"> </v>
      </c>
      <c r="AZ25" s="32"/>
      <c r="BA25" s="32"/>
      <c r="BB25" s="53"/>
      <c r="BC25" s="21" t="str">
        <f>IFERROR(VLOOKUP(May[[#This Row],[Drug Name8]],'Data Options'!$R$1:$S$100,2,FALSE), " ")</f>
        <v xml:space="preserve"> </v>
      </c>
      <c r="BD25" s="32"/>
      <c r="BE25" s="32"/>
      <c r="BF25" s="53"/>
      <c r="BG25" s="21" t="str">
        <f>IFERROR(VLOOKUP(May[[#This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21" t="str">
        <f>IFERROR(VLOOKUP(May[[#This Row],[Drug Name]],'Data Options'!$R$1:$S$100,2,FALSE), " ")</f>
        <v xml:space="preserve"> </v>
      </c>
      <c r="R26" s="32"/>
      <c r="S26" s="32"/>
      <c r="T26" s="53"/>
      <c r="U26" s="21" t="str">
        <f>IFERROR(VLOOKUP(May[[#This Row],[Drug Name2]],'Data Options'!$R$1:$S$100,2,FALSE), " ")</f>
        <v xml:space="preserve"> </v>
      </c>
      <c r="V26" s="32"/>
      <c r="W26" s="32"/>
      <c r="X26" s="53"/>
      <c r="Y26" s="21" t="str">
        <f>IFERROR(VLOOKUP(May[[#This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21" t="str">
        <f>IFERROR(VLOOKUP(May[[#This Row],[Drug Name4]],'Data Options'!$R$1:$S$100,2,FALSE), " ")</f>
        <v xml:space="preserve"> </v>
      </c>
      <c r="AI26" s="32"/>
      <c r="AJ26" s="32"/>
      <c r="AK26" s="53"/>
      <c r="AL26" s="21" t="str">
        <f>IFERROR(VLOOKUP(May[[#This Row],[Drug Name5]],'Data Options'!$R$1:$S$100,2,FALSE), " ")</f>
        <v xml:space="preserve"> </v>
      </c>
      <c r="AM26" s="32"/>
      <c r="AN26" s="32"/>
      <c r="AO26" s="53"/>
      <c r="AP26" s="21" t="str">
        <f>IFERROR(VLOOKUP(May[[#This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21" t="str">
        <f>IFERROR(VLOOKUP(May[[#This Row],[Drug Name7]],'Data Options'!$R$1:$S$100,2,FALSE), " ")</f>
        <v xml:space="preserve"> </v>
      </c>
      <c r="AZ26" s="32"/>
      <c r="BA26" s="32"/>
      <c r="BB26" s="53"/>
      <c r="BC26" s="21" t="str">
        <f>IFERROR(VLOOKUP(May[[#This Row],[Drug Name8]],'Data Options'!$R$1:$S$100,2,FALSE), " ")</f>
        <v xml:space="preserve"> </v>
      </c>
      <c r="BD26" s="32"/>
      <c r="BE26" s="32"/>
      <c r="BF26" s="53"/>
      <c r="BG26" s="21" t="str">
        <f>IFERROR(VLOOKUP(May[[#This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21" t="str">
        <f>IFERROR(VLOOKUP(May[[#This Row],[Drug Name]],'Data Options'!$R$1:$S$100,2,FALSE), " ")</f>
        <v xml:space="preserve"> </v>
      </c>
      <c r="R27" s="32"/>
      <c r="S27" s="32"/>
      <c r="T27" s="53"/>
      <c r="U27" s="21" t="str">
        <f>IFERROR(VLOOKUP(May[[#This Row],[Drug Name2]],'Data Options'!$R$1:$S$100,2,FALSE), " ")</f>
        <v xml:space="preserve"> </v>
      </c>
      <c r="V27" s="32"/>
      <c r="W27" s="32"/>
      <c r="X27" s="53"/>
      <c r="Y27" s="21" t="str">
        <f>IFERROR(VLOOKUP(May[[#This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21" t="str">
        <f>IFERROR(VLOOKUP(May[[#This Row],[Drug Name4]],'Data Options'!$R$1:$S$100,2,FALSE), " ")</f>
        <v xml:space="preserve"> </v>
      </c>
      <c r="AI27" s="32"/>
      <c r="AJ27" s="32"/>
      <c r="AK27" s="53"/>
      <c r="AL27" s="21" t="str">
        <f>IFERROR(VLOOKUP(May[[#This Row],[Drug Name5]],'Data Options'!$R$1:$S$100,2,FALSE), " ")</f>
        <v xml:space="preserve"> </v>
      </c>
      <c r="AM27" s="32"/>
      <c r="AN27" s="32"/>
      <c r="AO27" s="53"/>
      <c r="AP27" s="21" t="str">
        <f>IFERROR(VLOOKUP(May[[#This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21" t="str">
        <f>IFERROR(VLOOKUP(May[[#This Row],[Drug Name7]],'Data Options'!$R$1:$S$100,2,FALSE), " ")</f>
        <v xml:space="preserve"> </v>
      </c>
      <c r="AZ27" s="32"/>
      <c r="BA27" s="32"/>
      <c r="BB27" s="53"/>
      <c r="BC27" s="21" t="str">
        <f>IFERROR(VLOOKUP(May[[#This Row],[Drug Name8]],'Data Options'!$R$1:$S$100,2,FALSE), " ")</f>
        <v xml:space="preserve"> </v>
      </c>
      <c r="BD27" s="32"/>
      <c r="BE27" s="32"/>
      <c r="BF27" s="53"/>
      <c r="BG27" s="21" t="str">
        <f>IFERROR(VLOOKUP(May[[#This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21" t="str">
        <f>IFERROR(VLOOKUP(May[[#This Row],[Drug Name]],'Data Options'!$R$1:$S$100,2,FALSE), " ")</f>
        <v xml:space="preserve"> </v>
      </c>
      <c r="R28" s="32"/>
      <c r="S28" s="32"/>
      <c r="T28" s="53"/>
      <c r="U28" s="21" t="str">
        <f>IFERROR(VLOOKUP(May[[#This Row],[Drug Name2]],'Data Options'!$R$1:$S$100,2,FALSE), " ")</f>
        <v xml:space="preserve"> </v>
      </c>
      <c r="V28" s="32"/>
      <c r="W28" s="32"/>
      <c r="X28" s="53"/>
      <c r="Y28" s="21" t="str">
        <f>IFERROR(VLOOKUP(May[[#This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21" t="str">
        <f>IFERROR(VLOOKUP(May[[#This Row],[Drug Name4]],'Data Options'!$R$1:$S$100,2,FALSE), " ")</f>
        <v xml:space="preserve"> </v>
      </c>
      <c r="AI28" s="32"/>
      <c r="AJ28" s="32"/>
      <c r="AK28" s="53"/>
      <c r="AL28" s="21" t="str">
        <f>IFERROR(VLOOKUP(May[[#This Row],[Drug Name5]],'Data Options'!$R$1:$S$100,2,FALSE), " ")</f>
        <v xml:space="preserve"> </v>
      </c>
      <c r="AM28" s="32"/>
      <c r="AN28" s="32"/>
      <c r="AO28" s="53"/>
      <c r="AP28" s="21" t="str">
        <f>IFERROR(VLOOKUP(May[[#This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21" t="str">
        <f>IFERROR(VLOOKUP(May[[#This Row],[Drug Name7]],'Data Options'!$R$1:$S$100,2,FALSE), " ")</f>
        <v xml:space="preserve"> </v>
      </c>
      <c r="AZ28" s="32"/>
      <c r="BA28" s="32"/>
      <c r="BB28" s="53"/>
      <c r="BC28" s="21" t="str">
        <f>IFERROR(VLOOKUP(May[[#This Row],[Drug Name8]],'Data Options'!$R$1:$S$100,2,FALSE), " ")</f>
        <v xml:space="preserve"> </v>
      </c>
      <c r="BD28" s="32"/>
      <c r="BE28" s="32"/>
      <c r="BF28" s="53"/>
      <c r="BG28" s="21" t="str">
        <f>IFERROR(VLOOKUP(May[[#This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21" t="str">
        <f>IFERROR(VLOOKUP(May[[#This Row],[Drug Name]],'Data Options'!$R$1:$S$100,2,FALSE), " ")</f>
        <v xml:space="preserve"> </v>
      </c>
      <c r="R29" s="32"/>
      <c r="S29" s="32"/>
      <c r="T29" s="53"/>
      <c r="U29" s="21" t="str">
        <f>IFERROR(VLOOKUP(May[[#This Row],[Drug Name2]],'Data Options'!$R$1:$S$100,2,FALSE), " ")</f>
        <v xml:space="preserve"> </v>
      </c>
      <c r="V29" s="32"/>
      <c r="W29" s="32"/>
      <c r="X29" s="53"/>
      <c r="Y29" s="21" t="str">
        <f>IFERROR(VLOOKUP(May[[#This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21" t="str">
        <f>IFERROR(VLOOKUP(May[[#This Row],[Drug Name4]],'Data Options'!$R$1:$S$100,2,FALSE), " ")</f>
        <v xml:space="preserve"> </v>
      </c>
      <c r="AI29" s="32"/>
      <c r="AJ29" s="32"/>
      <c r="AK29" s="53"/>
      <c r="AL29" s="21" t="str">
        <f>IFERROR(VLOOKUP(May[[#This Row],[Drug Name5]],'Data Options'!$R$1:$S$100,2,FALSE), " ")</f>
        <v xml:space="preserve"> </v>
      </c>
      <c r="AM29" s="32"/>
      <c r="AN29" s="32"/>
      <c r="AO29" s="53"/>
      <c r="AP29" s="21" t="str">
        <f>IFERROR(VLOOKUP(May[[#This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21" t="str">
        <f>IFERROR(VLOOKUP(May[[#This Row],[Drug Name7]],'Data Options'!$R$1:$S$100,2,FALSE), " ")</f>
        <v xml:space="preserve"> </v>
      </c>
      <c r="AZ29" s="32"/>
      <c r="BA29" s="32"/>
      <c r="BB29" s="53"/>
      <c r="BC29" s="21" t="str">
        <f>IFERROR(VLOOKUP(May[[#This Row],[Drug Name8]],'Data Options'!$R$1:$S$100,2,FALSE), " ")</f>
        <v xml:space="preserve"> </v>
      </c>
      <c r="BD29" s="32"/>
      <c r="BE29" s="32"/>
      <c r="BF29" s="53"/>
      <c r="BG29" s="21" t="str">
        <f>IFERROR(VLOOKUP(May[[#This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21" t="str">
        <f>IFERROR(VLOOKUP(May[[#This Row],[Drug Name]],'Data Options'!$R$1:$S$100,2,FALSE), " ")</f>
        <v xml:space="preserve"> </v>
      </c>
      <c r="R30" s="32"/>
      <c r="S30" s="32"/>
      <c r="T30" s="53"/>
      <c r="U30" s="21" t="str">
        <f>IFERROR(VLOOKUP(May[[#This Row],[Drug Name2]],'Data Options'!$R$1:$S$100,2,FALSE), " ")</f>
        <v xml:space="preserve"> </v>
      </c>
      <c r="V30" s="32"/>
      <c r="W30" s="32"/>
      <c r="X30" s="53"/>
      <c r="Y30" s="21" t="str">
        <f>IFERROR(VLOOKUP(May[[#This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21" t="str">
        <f>IFERROR(VLOOKUP(May[[#This Row],[Drug Name4]],'Data Options'!$R$1:$S$100,2,FALSE), " ")</f>
        <v xml:space="preserve"> </v>
      </c>
      <c r="AI30" s="32"/>
      <c r="AJ30" s="32"/>
      <c r="AK30" s="53"/>
      <c r="AL30" s="21" t="str">
        <f>IFERROR(VLOOKUP(May[[#This Row],[Drug Name5]],'Data Options'!$R$1:$S$100,2,FALSE), " ")</f>
        <v xml:space="preserve"> </v>
      </c>
      <c r="AM30" s="32"/>
      <c r="AN30" s="32"/>
      <c r="AO30" s="53"/>
      <c r="AP30" s="21" t="str">
        <f>IFERROR(VLOOKUP(May[[#This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21" t="str">
        <f>IFERROR(VLOOKUP(May[[#This Row],[Drug Name7]],'Data Options'!$R$1:$S$100,2,FALSE), " ")</f>
        <v xml:space="preserve"> </v>
      </c>
      <c r="AZ30" s="32"/>
      <c r="BA30" s="32"/>
      <c r="BB30" s="53"/>
      <c r="BC30" s="21" t="str">
        <f>IFERROR(VLOOKUP(May[[#This Row],[Drug Name8]],'Data Options'!$R$1:$S$100,2,FALSE), " ")</f>
        <v xml:space="preserve"> </v>
      </c>
      <c r="BD30" s="32"/>
      <c r="BE30" s="32"/>
      <c r="BF30" s="53"/>
      <c r="BG30" s="21" t="str">
        <f>IFERROR(VLOOKUP(May[[#This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21" t="str">
        <f>IFERROR(VLOOKUP(May[[#This Row],[Drug Name]],'Data Options'!$R$1:$S$100,2,FALSE), " ")</f>
        <v xml:space="preserve"> </v>
      </c>
      <c r="R31" s="32"/>
      <c r="S31" s="32"/>
      <c r="T31" s="53"/>
      <c r="U31" s="21" t="str">
        <f>IFERROR(VLOOKUP(May[[#This Row],[Drug Name2]],'Data Options'!$R$1:$S$100,2,FALSE), " ")</f>
        <v xml:space="preserve"> </v>
      </c>
      <c r="V31" s="32"/>
      <c r="W31" s="32"/>
      <c r="X31" s="53"/>
      <c r="Y31" s="21" t="str">
        <f>IFERROR(VLOOKUP(May[[#This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21" t="str">
        <f>IFERROR(VLOOKUP(May[[#This Row],[Drug Name4]],'Data Options'!$R$1:$S$100,2,FALSE), " ")</f>
        <v xml:space="preserve"> </v>
      </c>
      <c r="AI31" s="32"/>
      <c r="AJ31" s="32"/>
      <c r="AK31" s="53"/>
      <c r="AL31" s="21" t="str">
        <f>IFERROR(VLOOKUP(May[[#This Row],[Drug Name5]],'Data Options'!$R$1:$S$100,2,FALSE), " ")</f>
        <v xml:space="preserve"> </v>
      </c>
      <c r="AM31" s="32"/>
      <c r="AN31" s="32"/>
      <c r="AO31" s="53"/>
      <c r="AP31" s="21" t="str">
        <f>IFERROR(VLOOKUP(May[[#This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21" t="str">
        <f>IFERROR(VLOOKUP(May[[#This Row],[Drug Name7]],'Data Options'!$R$1:$S$100,2,FALSE), " ")</f>
        <v xml:space="preserve"> </v>
      </c>
      <c r="AZ31" s="32"/>
      <c r="BA31" s="32"/>
      <c r="BB31" s="53"/>
      <c r="BC31" s="21" t="str">
        <f>IFERROR(VLOOKUP(May[[#This Row],[Drug Name8]],'Data Options'!$R$1:$S$100,2,FALSE), " ")</f>
        <v xml:space="preserve"> </v>
      </c>
      <c r="BD31" s="32"/>
      <c r="BE31" s="32"/>
      <c r="BF31" s="53"/>
      <c r="BG31" s="21" t="str">
        <f>IFERROR(VLOOKUP(May[[#This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21" t="str">
        <f>IFERROR(VLOOKUP(May[[#This Row],[Drug Name]],'Data Options'!$R$1:$S$100,2,FALSE), " ")</f>
        <v xml:space="preserve"> </v>
      </c>
      <c r="R32" s="32"/>
      <c r="S32" s="32"/>
      <c r="T32" s="53"/>
      <c r="U32" s="21" t="str">
        <f>IFERROR(VLOOKUP(May[[#This Row],[Drug Name2]],'Data Options'!$R$1:$S$100,2,FALSE), " ")</f>
        <v xml:space="preserve"> </v>
      </c>
      <c r="V32" s="32"/>
      <c r="W32" s="32"/>
      <c r="X32" s="53"/>
      <c r="Y32" s="21" t="str">
        <f>IFERROR(VLOOKUP(May[[#This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21" t="str">
        <f>IFERROR(VLOOKUP(May[[#This Row],[Drug Name4]],'Data Options'!$R$1:$S$100,2,FALSE), " ")</f>
        <v xml:space="preserve"> </v>
      </c>
      <c r="AI32" s="32"/>
      <c r="AJ32" s="32"/>
      <c r="AK32" s="53"/>
      <c r="AL32" s="21" t="str">
        <f>IFERROR(VLOOKUP(May[[#This Row],[Drug Name5]],'Data Options'!$R$1:$S$100,2,FALSE), " ")</f>
        <v xml:space="preserve"> </v>
      </c>
      <c r="AM32" s="32"/>
      <c r="AN32" s="32"/>
      <c r="AO32" s="53"/>
      <c r="AP32" s="21" t="str">
        <f>IFERROR(VLOOKUP(May[[#This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21" t="str">
        <f>IFERROR(VLOOKUP(May[[#This Row],[Drug Name7]],'Data Options'!$R$1:$S$100,2,FALSE), " ")</f>
        <v xml:space="preserve"> </v>
      </c>
      <c r="AZ32" s="32"/>
      <c r="BA32" s="32"/>
      <c r="BB32" s="53"/>
      <c r="BC32" s="21" t="str">
        <f>IFERROR(VLOOKUP(May[[#This Row],[Drug Name8]],'Data Options'!$R$1:$S$100,2,FALSE), " ")</f>
        <v xml:space="preserve"> </v>
      </c>
      <c r="BD32" s="32"/>
      <c r="BE32" s="32"/>
      <c r="BF32" s="53"/>
      <c r="BG32" s="21" t="str">
        <f>IFERROR(VLOOKUP(May[[#This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21" t="str">
        <f>IFERROR(VLOOKUP(May[[#This Row],[Drug Name]],'Data Options'!$R$1:$S$100,2,FALSE), " ")</f>
        <v xml:space="preserve"> </v>
      </c>
      <c r="R33" s="32"/>
      <c r="S33" s="32"/>
      <c r="T33" s="53"/>
      <c r="U33" s="21" t="str">
        <f>IFERROR(VLOOKUP(May[[#This Row],[Drug Name2]],'Data Options'!$R$1:$S$100,2,FALSE), " ")</f>
        <v xml:space="preserve"> </v>
      </c>
      <c r="V33" s="32"/>
      <c r="W33" s="32"/>
      <c r="X33" s="53"/>
      <c r="Y33" s="21" t="str">
        <f>IFERROR(VLOOKUP(May[[#This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21" t="str">
        <f>IFERROR(VLOOKUP(May[[#This Row],[Drug Name4]],'Data Options'!$R$1:$S$100,2,FALSE), " ")</f>
        <v xml:space="preserve"> </v>
      </c>
      <c r="AI33" s="32"/>
      <c r="AJ33" s="32"/>
      <c r="AK33" s="53"/>
      <c r="AL33" s="21" t="str">
        <f>IFERROR(VLOOKUP(May[[#This Row],[Drug Name5]],'Data Options'!$R$1:$S$100,2,FALSE), " ")</f>
        <v xml:space="preserve"> </v>
      </c>
      <c r="AM33" s="32"/>
      <c r="AN33" s="32"/>
      <c r="AO33" s="53"/>
      <c r="AP33" s="21" t="str">
        <f>IFERROR(VLOOKUP(May[[#This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21" t="str">
        <f>IFERROR(VLOOKUP(May[[#This Row],[Drug Name7]],'Data Options'!$R$1:$S$100,2,FALSE), " ")</f>
        <v xml:space="preserve"> </v>
      </c>
      <c r="AZ33" s="32"/>
      <c r="BA33" s="32"/>
      <c r="BB33" s="53"/>
      <c r="BC33" s="21" t="str">
        <f>IFERROR(VLOOKUP(May[[#This Row],[Drug Name8]],'Data Options'!$R$1:$S$100,2,FALSE), " ")</f>
        <v xml:space="preserve"> </v>
      </c>
      <c r="BD33" s="32"/>
      <c r="BE33" s="32"/>
      <c r="BF33" s="53"/>
      <c r="BG33" s="21" t="str">
        <f>IFERROR(VLOOKUP(May[[#This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21" t="str">
        <f>IFERROR(VLOOKUP(May[[#This Row],[Drug Name]],'Data Options'!$R$1:$S$100,2,FALSE), " ")</f>
        <v xml:space="preserve"> </v>
      </c>
      <c r="R34" s="32"/>
      <c r="S34" s="32"/>
      <c r="T34" s="53"/>
      <c r="U34" s="21" t="str">
        <f>IFERROR(VLOOKUP(May[[#This Row],[Drug Name2]],'Data Options'!$R$1:$S$100,2,FALSE), " ")</f>
        <v xml:space="preserve"> </v>
      </c>
      <c r="V34" s="32"/>
      <c r="W34" s="32"/>
      <c r="X34" s="53"/>
      <c r="Y34" s="21" t="str">
        <f>IFERROR(VLOOKUP(May[[#This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21" t="str">
        <f>IFERROR(VLOOKUP(May[[#This Row],[Drug Name4]],'Data Options'!$R$1:$S$100,2,FALSE), " ")</f>
        <v xml:space="preserve"> </v>
      </c>
      <c r="AI34" s="32"/>
      <c r="AJ34" s="32"/>
      <c r="AK34" s="53"/>
      <c r="AL34" s="21" t="str">
        <f>IFERROR(VLOOKUP(May[[#This Row],[Drug Name5]],'Data Options'!$R$1:$S$100,2,FALSE), " ")</f>
        <v xml:space="preserve"> </v>
      </c>
      <c r="AM34" s="32"/>
      <c r="AN34" s="32"/>
      <c r="AO34" s="53"/>
      <c r="AP34" s="21" t="str">
        <f>IFERROR(VLOOKUP(May[[#This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21" t="str">
        <f>IFERROR(VLOOKUP(May[[#This Row],[Drug Name7]],'Data Options'!$R$1:$S$100,2,FALSE), " ")</f>
        <v xml:space="preserve"> </v>
      </c>
      <c r="AZ34" s="32"/>
      <c r="BA34" s="32"/>
      <c r="BB34" s="53"/>
      <c r="BC34" s="21" t="str">
        <f>IFERROR(VLOOKUP(May[[#This Row],[Drug Name8]],'Data Options'!$R$1:$S$100,2,FALSE), " ")</f>
        <v xml:space="preserve"> </v>
      </c>
      <c r="BD34" s="32"/>
      <c r="BE34" s="32"/>
      <c r="BF34" s="53"/>
      <c r="BG34" s="21" t="str">
        <f>IFERROR(VLOOKUP(May[[#This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21" t="str">
        <f>IFERROR(VLOOKUP(May[[#This Row],[Drug Name]],'Data Options'!$R$1:$S$100,2,FALSE), " ")</f>
        <v xml:space="preserve"> </v>
      </c>
      <c r="R35" s="32"/>
      <c r="S35" s="32"/>
      <c r="T35" s="53"/>
      <c r="U35" s="21" t="str">
        <f>IFERROR(VLOOKUP(May[[#This Row],[Drug Name2]],'Data Options'!$R$1:$S$100,2,FALSE), " ")</f>
        <v xml:space="preserve"> </v>
      </c>
      <c r="V35" s="32"/>
      <c r="W35" s="32"/>
      <c r="X35" s="53"/>
      <c r="Y35" s="21" t="str">
        <f>IFERROR(VLOOKUP(May[[#This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21" t="str">
        <f>IFERROR(VLOOKUP(May[[#This Row],[Drug Name4]],'Data Options'!$R$1:$S$100,2,FALSE), " ")</f>
        <v xml:space="preserve"> </v>
      </c>
      <c r="AI35" s="32"/>
      <c r="AJ35" s="32"/>
      <c r="AK35" s="53"/>
      <c r="AL35" s="21" t="str">
        <f>IFERROR(VLOOKUP(May[[#This Row],[Drug Name5]],'Data Options'!$R$1:$S$100,2,FALSE), " ")</f>
        <v xml:space="preserve"> </v>
      </c>
      <c r="AM35" s="32"/>
      <c r="AN35" s="32"/>
      <c r="AO35" s="53"/>
      <c r="AP35" s="21" t="str">
        <f>IFERROR(VLOOKUP(May[[#This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21" t="str">
        <f>IFERROR(VLOOKUP(May[[#This Row],[Drug Name7]],'Data Options'!$R$1:$S$100,2,FALSE), " ")</f>
        <v xml:space="preserve"> </v>
      </c>
      <c r="AZ35" s="32"/>
      <c r="BA35" s="32"/>
      <c r="BB35" s="53"/>
      <c r="BC35" s="21" t="str">
        <f>IFERROR(VLOOKUP(May[[#This Row],[Drug Name8]],'Data Options'!$R$1:$S$100,2,FALSE), " ")</f>
        <v xml:space="preserve"> </v>
      </c>
      <c r="BD35" s="32"/>
      <c r="BE35" s="32"/>
      <c r="BF35" s="53"/>
      <c r="BG35" s="21" t="str">
        <f>IFERROR(VLOOKUP(May[[#This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21" t="str">
        <f>IFERROR(VLOOKUP(May[[#This Row],[Drug Name]],'Data Options'!$R$1:$S$100,2,FALSE), " ")</f>
        <v xml:space="preserve"> </v>
      </c>
      <c r="R36" s="32"/>
      <c r="S36" s="32"/>
      <c r="T36" s="53"/>
      <c r="U36" s="21" t="str">
        <f>IFERROR(VLOOKUP(May[[#This Row],[Drug Name2]],'Data Options'!$R$1:$S$100,2,FALSE), " ")</f>
        <v xml:space="preserve"> </v>
      </c>
      <c r="V36" s="32"/>
      <c r="W36" s="32"/>
      <c r="X36" s="53"/>
      <c r="Y36" s="21" t="str">
        <f>IFERROR(VLOOKUP(May[[#This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21" t="str">
        <f>IFERROR(VLOOKUP(May[[#This Row],[Drug Name4]],'Data Options'!$R$1:$S$100,2,FALSE), " ")</f>
        <v xml:space="preserve"> </v>
      </c>
      <c r="AI36" s="32"/>
      <c r="AJ36" s="32"/>
      <c r="AK36" s="53"/>
      <c r="AL36" s="21" t="str">
        <f>IFERROR(VLOOKUP(May[[#This Row],[Drug Name5]],'Data Options'!$R$1:$S$100,2,FALSE), " ")</f>
        <v xml:space="preserve"> </v>
      </c>
      <c r="AM36" s="32"/>
      <c r="AN36" s="32"/>
      <c r="AO36" s="53"/>
      <c r="AP36" s="21" t="str">
        <f>IFERROR(VLOOKUP(May[[#This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21" t="str">
        <f>IFERROR(VLOOKUP(May[[#This Row],[Drug Name7]],'Data Options'!$R$1:$S$100,2,FALSE), " ")</f>
        <v xml:space="preserve"> </v>
      </c>
      <c r="AZ36" s="32"/>
      <c r="BA36" s="32"/>
      <c r="BB36" s="53"/>
      <c r="BC36" s="21" t="str">
        <f>IFERROR(VLOOKUP(May[[#This Row],[Drug Name8]],'Data Options'!$R$1:$S$100,2,FALSE), " ")</f>
        <v xml:space="preserve"> </v>
      </c>
      <c r="BD36" s="32"/>
      <c r="BE36" s="32"/>
      <c r="BF36" s="53"/>
      <c r="BG36" s="21" t="str">
        <f>IFERROR(VLOOKUP(May[[#This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21" t="str">
        <f>IFERROR(VLOOKUP(May[[#This Row],[Drug Name]],'Data Options'!$R$1:$S$100,2,FALSE), " ")</f>
        <v xml:space="preserve"> </v>
      </c>
      <c r="R37" s="32"/>
      <c r="S37" s="32"/>
      <c r="T37" s="53"/>
      <c r="U37" s="21" t="str">
        <f>IFERROR(VLOOKUP(May[[#This Row],[Drug Name2]],'Data Options'!$R$1:$S$100,2,FALSE), " ")</f>
        <v xml:space="preserve"> </v>
      </c>
      <c r="V37" s="32"/>
      <c r="W37" s="32"/>
      <c r="X37" s="53"/>
      <c r="Y37" s="21" t="str">
        <f>IFERROR(VLOOKUP(May[[#This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21" t="str">
        <f>IFERROR(VLOOKUP(May[[#This Row],[Drug Name4]],'Data Options'!$R$1:$S$100,2,FALSE), " ")</f>
        <v xml:space="preserve"> </v>
      </c>
      <c r="AI37" s="32"/>
      <c r="AJ37" s="32"/>
      <c r="AK37" s="53"/>
      <c r="AL37" s="21" t="str">
        <f>IFERROR(VLOOKUP(May[[#This Row],[Drug Name5]],'Data Options'!$R$1:$S$100,2,FALSE), " ")</f>
        <v xml:space="preserve"> </v>
      </c>
      <c r="AM37" s="32"/>
      <c r="AN37" s="32"/>
      <c r="AO37" s="53"/>
      <c r="AP37" s="21" t="str">
        <f>IFERROR(VLOOKUP(May[[#This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21" t="str">
        <f>IFERROR(VLOOKUP(May[[#This Row],[Drug Name7]],'Data Options'!$R$1:$S$100,2,FALSE), " ")</f>
        <v xml:space="preserve"> </v>
      </c>
      <c r="AZ37" s="32"/>
      <c r="BA37" s="32"/>
      <c r="BB37" s="53"/>
      <c r="BC37" s="21" t="str">
        <f>IFERROR(VLOOKUP(May[[#This Row],[Drug Name8]],'Data Options'!$R$1:$S$100,2,FALSE), " ")</f>
        <v xml:space="preserve"> </v>
      </c>
      <c r="BD37" s="32"/>
      <c r="BE37" s="32"/>
      <c r="BF37" s="53"/>
      <c r="BG37" s="21" t="str">
        <f>IFERROR(VLOOKUP(May[[#This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21" t="str">
        <f>IFERROR(VLOOKUP(May[[#This Row],[Drug Name]],'Data Options'!$R$1:$S$100,2,FALSE), " ")</f>
        <v xml:space="preserve"> </v>
      </c>
      <c r="R38" s="32"/>
      <c r="S38" s="32"/>
      <c r="T38" s="53"/>
      <c r="U38" s="21" t="str">
        <f>IFERROR(VLOOKUP(May[[#This Row],[Drug Name2]],'Data Options'!$R$1:$S$100,2,FALSE), " ")</f>
        <v xml:space="preserve"> </v>
      </c>
      <c r="V38" s="32"/>
      <c r="W38" s="32"/>
      <c r="X38" s="53"/>
      <c r="Y38" s="21" t="str">
        <f>IFERROR(VLOOKUP(May[[#This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21" t="str">
        <f>IFERROR(VLOOKUP(May[[#This Row],[Drug Name4]],'Data Options'!$R$1:$S$100,2,FALSE), " ")</f>
        <v xml:space="preserve"> </v>
      </c>
      <c r="AI38" s="32"/>
      <c r="AJ38" s="32"/>
      <c r="AK38" s="53"/>
      <c r="AL38" s="21" t="str">
        <f>IFERROR(VLOOKUP(May[[#This Row],[Drug Name5]],'Data Options'!$R$1:$S$100,2,FALSE), " ")</f>
        <v xml:space="preserve"> </v>
      </c>
      <c r="AM38" s="32"/>
      <c r="AN38" s="32"/>
      <c r="AO38" s="53"/>
      <c r="AP38" s="21" t="str">
        <f>IFERROR(VLOOKUP(May[[#This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21" t="str">
        <f>IFERROR(VLOOKUP(May[[#This Row],[Drug Name7]],'Data Options'!$R$1:$S$100,2,FALSE), " ")</f>
        <v xml:space="preserve"> </v>
      </c>
      <c r="AZ38" s="32"/>
      <c r="BA38" s="32"/>
      <c r="BB38" s="53"/>
      <c r="BC38" s="21" t="str">
        <f>IFERROR(VLOOKUP(May[[#This Row],[Drug Name8]],'Data Options'!$R$1:$S$100,2,FALSE), " ")</f>
        <v xml:space="preserve"> </v>
      </c>
      <c r="BD38" s="32"/>
      <c r="BE38" s="32"/>
      <c r="BF38" s="53"/>
      <c r="BG38" s="21" t="str">
        <f>IFERROR(VLOOKUP(May[[#This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21" t="str">
        <f>IFERROR(VLOOKUP(May[[#This Row],[Drug Name]],'Data Options'!$R$1:$S$100,2,FALSE), " ")</f>
        <v xml:space="preserve"> </v>
      </c>
      <c r="R39" s="32"/>
      <c r="S39" s="32"/>
      <c r="T39" s="53"/>
      <c r="U39" s="21" t="str">
        <f>IFERROR(VLOOKUP(May[[#This Row],[Drug Name2]],'Data Options'!$R$1:$S$100,2,FALSE), " ")</f>
        <v xml:space="preserve"> </v>
      </c>
      <c r="V39" s="32"/>
      <c r="W39" s="32"/>
      <c r="X39" s="53"/>
      <c r="Y39" s="21" t="str">
        <f>IFERROR(VLOOKUP(May[[#This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21" t="str">
        <f>IFERROR(VLOOKUP(May[[#This Row],[Drug Name4]],'Data Options'!$R$1:$S$100,2,FALSE), " ")</f>
        <v xml:space="preserve"> </v>
      </c>
      <c r="AI39" s="32"/>
      <c r="AJ39" s="32"/>
      <c r="AK39" s="53"/>
      <c r="AL39" s="21" t="str">
        <f>IFERROR(VLOOKUP(May[[#This Row],[Drug Name5]],'Data Options'!$R$1:$S$100,2,FALSE), " ")</f>
        <v xml:space="preserve"> </v>
      </c>
      <c r="AM39" s="32"/>
      <c r="AN39" s="32"/>
      <c r="AO39" s="53"/>
      <c r="AP39" s="21" t="str">
        <f>IFERROR(VLOOKUP(May[[#This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21" t="str">
        <f>IFERROR(VLOOKUP(May[[#This Row],[Drug Name7]],'Data Options'!$R$1:$S$100,2,FALSE), " ")</f>
        <v xml:space="preserve"> </v>
      </c>
      <c r="AZ39" s="32"/>
      <c r="BA39" s="32"/>
      <c r="BB39" s="53"/>
      <c r="BC39" s="21" t="str">
        <f>IFERROR(VLOOKUP(May[[#This Row],[Drug Name8]],'Data Options'!$R$1:$S$100,2,FALSE), " ")</f>
        <v xml:space="preserve"> </v>
      </c>
      <c r="BD39" s="32"/>
      <c r="BE39" s="32"/>
      <c r="BF39" s="53"/>
      <c r="BG39" s="21" t="str">
        <f>IFERROR(VLOOKUP(May[[#This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21" t="str">
        <f>IFERROR(VLOOKUP(May[[#This Row],[Drug Name]],'Data Options'!$R$1:$S$100,2,FALSE), " ")</f>
        <v xml:space="preserve"> </v>
      </c>
      <c r="R40" s="32"/>
      <c r="S40" s="32"/>
      <c r="T40" s="53"/>
      <c r="U40" s="21" t="str">
        <f>IFERROR(VLOOKUP(May[[#This Row],[Drug Name2]],'Data Options'!$R$1:$S$100,2,FALSE), " ")</f>
        <v xml:space="preserve"> </v>
      </c>
      <c r="V40" s="32"/>
      <c r="W40" s="32"/>
      <c r="X40" s="53"/>
      <c r="Y40" s="21" t="str">
        <f>IFERROR(VLOOKUP(May[[#This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21" t="str">
        <f>IFERROR(VLOOKUP(May[[#This Row],[Drug Name4]],'Data Options'!$R$1:$S$100,2,FALSE), " ")</f>
        <v xml:space="preserve"> </v>
      </c>
      <c r="AI40" s="32"/>
      <c r="AJ40" s="32"/>
      <c r="AK40" s="53"/>
      <c r="AL40" s="21" t="str">
        <f>IFERROR(VLOOKUP(May[[#This Row],[Drug Name5]],'Data Options'!$R$1:$S$100,2,FALSE), " ")</f>
        <v xml:space="preserve"> </v>
      </c>
      <c r="AM40" s="32"/>
      <c r="AN40" s="32"/>
      <c r="AO40" s="53"/>
      <c r="AP40" s="21" t="str">
        <f>IFERROR(VLOOKUP(May[[#This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21" t="str">
        <f>IFERROR(VLOOKUP(May[[#This Row],[Drug Name7]],'Data Options'!$R$1:$S$100,2,FALSE), " ")</f>
        <v xml:space="preserve"> </v>
      </c>
      <c r="AZ40" s="32"/>
      <c r="BA40" s="32"/>
      <c r="BB40" s="53"/>
      <c r="BC40" s="21" t="str">
        <f>IFERROR(VLOOKUP(May[[#This Row],[Drug Name8]],'Data Options'!$R$1:$S$100,2,FALSE), " ")</f>
        <v xml:space="preserve"> </v>
      </c>
      <c r="BD40" s="32"/>
      <c r="BE40" s="32"/>
      <c r="BF40" s="53"/>
      <c r="BG40" s="21" t="str">
        <f>IFERROR(VLOOKUP(May[[#This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21" t="str">
        <f>IFERROR(VLOOKUP(May[[#This Row],[Drug Name]],'Data Options'!$R$1:$S$100,2,FALSE), " ")</f>
        <v xml:space="preserve"> </v>
      </c>
      <c r="R41" s="32"/>
      <c r="S41" s="32"/>
      <c r="T41" s="53"/>
      <c r="U41" s="21" t="str">
        <f>IFERROR(VLOOKUP(May[[#This Row],[Drug Name2]],'Data Options'!$R$1:$S$100,2,FALSE), " ")</f>
        <v xml:space="preserve"> </v>
      </c>
      <c r="V41" s="32"/>
      <c r="W41" s="32"/>
      <c r="X41" s="53"/>
      <c r="Y41" s="21" t="str">
        <f>IFERROR(VLOOKUP(May[[#This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21" t="str">
        <f>IFERROR(VLOOKUP(May[[#This Row],[Drug Name4]],'Data Options'!$R$1:$S$100,2,FALSE), " ")</f>
        <v xml:space="preserve"> </v>
      </c>
      <c r="AI41" s="32"/>
      <c r="AJ41" s="32"/>
      <c r="AK41" s="53"/>
      <c r="AL41" s="21" t="str">
        <f>IFERROR(VLOOKUP(May[[#This Row],[Drug Name5]],'Data Options'!$R$1:$S$100,2,FALSE), " ")</f>
        <v xml:space="preserve"> </v>
      </c>
      <c r="AM41" s="32"/>
      <c r="AN41" s="32"/>
      <c r="AO41" s="53"/>
      <c r="AP41" s="21" t="str">
        <f>IFERROR(VLOOKUP(May[[#This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21" t="str">
        <f>IFERROR(VLOOKUP(May[[#This Row],[Drug Name7]],'Data Options'!$R$1:$S$100,2,FALSE), " ")</f>
        <v xml:space="preserve"> </v>
      </c>
      <c r="AZ41" s="32"/>
      <c r="BA41" s="32"/>
      <c r="BB41" s="53"/>
      <c r="BC41" s="21" t="str">
        <f>IFERROR(VLOOKUP(May[[#This Row],[Drug Name8]],'Data Options'!$R$1:$S$100,2,FALSE), " ")</f>
        <v xml:space="preserve"> </v>
      </c>
      <c r="BD41" s="32"/>
      <c r="BE41" s="32"/>
      <c r="BF41" s="53"/>
      <c r="BG41" s="21" t="str">
        <f>IFERROR(VLOOKUP(May[[#This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21" t="str">
        <f>IFERROR(VLOOKUP(May[[#This Row],[Drug Name]],'Data Options'!$R$1:$S$100,2,FALSE), " ")</f>
        <v xml:space="preserve"> </v>
      </c>
      <c r="R42" s="32"/>
      <c r="S42" s="32"/>
      <c r="T42" s="53"/>
      <c r="U42" s="21" t="str">
        <f>IFERROR(VLOOKUP(May[[#This Row],[Drug Name2]],'Data Options'!$R$1:$S$100,2,FALSE), " ")</f>
        <v xml:space="preserve"> </v>
      </c>
      <c r="V42" s="32"/>
      <c r="W42" s="32"/>
      <c r="X42" s="53"/>
      <c r="Y42" s="21" t="str">
        <f>IFERROR(VLOOKUP(May[[#This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21" t="str">
        <f>IFERROR(VLOOKUP(May[[#This Row],[Drug Name4]],'Data Options'!$R$1:$S$100,2,FALSE), " ")</f>
        <v xml:space="preserve"> </v>
      </c>
      <c r="AI42" s="32"/>
      <c r="AJ42" s="32"/>
      <c r="AK42" s="53"/>
      <c r="AL42" s="21" t="str">
        <f>IFERROR(VLOOKUP(May[[#This Row],[Drug Name5]],'Data Options'!$R$1:$S$100,2,FALSE), " ")</f>
        <v xml:space="preserve"> </v>
      </c>
      <c r="AM42" s="32"/>
      <c r="AN42" s="32"/>
      <c r="AO42" s="53"/>
      <c r="AP42" s="21" t="str">
        <f>IFERROR(VLOOKUP(May[[#This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21" t="str">
        <f>IFERROR(VLOOKUP(May[[#This Row],[Drug Name7]],'Data Options'!$R$1:$S$100,2,FALSE), " ")</f>
        <v xml:space="preserve"> </v>
      </c>
      <c r="AZ42" s="32"/>
      <c r="BA42" s="32"/>
      <c r="BB42" s="53"/>
      <c r="BC42" s="21" t="str">
        <f>IFERROR(VLOOKUP(May[[#This Row],[Drug Name8]],'Data Options'!$R$1:$S$100,2,FALSE), " ")</f>
        <v xml:space="preserve"> </v>
      </c>
      <c r="BD42" s="32"/>
      <c r="BE42" s="32"/>
      <c r="BF42" s="53"/>
      <c r="BG42" s="21" t="str">
        <f>IFERROR(VLOOKUP(May[[#This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21" t="str">
        <f>IFERROR(VLOOKUP(May[[#This Row],[Drug Name]],'Data Options'!$R$1:$S$100,2,FALSE), " ")</f>
        <v xml:space="preserve"> </v>
      </c>
      <c r="R43" s="32"/>
      <c r="S43" s="32"/>
      <c r="T43" s="53"/>
      <c r="U43" s="21" t="str">
        <f>IFERROR(VLOOKUP(May[[#This Row],[Drug Name2]],'Data Options'!$R$1:$S$100,2,FALSE), " ")</f>
        <v xml:space="preserve"> </v>
      </c>
      <c r="V43" s="32"/>
      <c r="W43" s="32"/>
      <c r="X43" s="53"/>
      <c r="Y43" s="21" t="str">
        <f>IFERROR(VLOOKUP(May[[#This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21" t="str">
        <f>IFERROR(VLOOKUP(May[[#This Row],[Drug Name4]],'Data Options'!$R$1:$S$100,2,FALSE), " ")</f>
        <v xml:space="preserve"> </v>
      </c>
      <c r="AI43" s="32"/>
      <c r="AJ43" s="32"/>
      <c r="AK43" s="53"/>
      <c r="AL43" s="21" t="str">
        <f>IFERROR(VLOOKUP(May[[#This Row],[Drug Name5]],'Data Options'!$R$1:$S$100,2,FALSE), " ")</f>
        <v xml:space="preserve"> </v>
      </c>
      <c r="AM43" s="32"/>
      <c r="AN43" s="32"/>
      <c r="AO43" s="53"/>
      <c r="AP43" s="21" t="str">
        <f>IFERROR(VLOOKUP(May[[#This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21" t="str">
        <f>IFERROR(VLOOKUP(May[[#This Row],[Drug Name7]],'Data Options'!$R$1:$S$100,2,FALSE), " ")</f>
        <v xml:space="preserve"> </v>
      </c>
      <c r="AZ43" s="32"/>
      <c r="BA43" s="32"/>
      <c r="BB43" s="53"/>
      <c r="BC43" s="21" t="str">
        <f>IFERROR(VLOOKUP(May[[#This Row],[Drug Name8]],'Data Options'!$R$1:$S$100,2,FALSE), " ")</f>
        <v xml:space="preserve"> </v>
      </c>
      <c r="BD43" s="32"/>
      <c r="BE43" s="32"/>
      <c r="BF43" s="53"/>
      <c r="BG43" s="21" t="str">
        <f>IFERROR(VLOOKUP(May[[#This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21" t="str">
        <f>IFERROR(VLOOKUP(May[[#This Row],[Drug Name]],'Data Options'!$R$1:$S$100,2,FALSE), " ")</f>
        <v xml:space="preserve"> </v>
      </c>
      <c r="R44" s="32"/>
      <c r="S44" s="32"/>
      <c r="T44" s="53"/>
      <c r="U44" s="21" t="str">
        <f>IFERROR(VLOOKUP(May[[#This Row],[Drug Name2]],'Data Options'!$R$1:$S$100,2,FALSE), " ")</f>
        <v xml:space="preserve"> </v>
      </c>
      <c r="V44" s="32"/>
      <c r="W44" s="32"/>
      <c r="X44" s="53"/>
      <c r="Y44" s="21" t="str">
        <f>IFERROR(VLOOKUP(May[[#This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21" t="str">
        <f>IFERROR(VLOOKUP(May[[#This Row],[Drug Name4]],'Data Options'!$R$1:$S$100,2,FALSE), " ")</f>
        <v xml:space="preserve"> </v>
      </c>
      <c r="AI44" s="32"/>
      <c r="AJ44" s="32"/>
      <c r="AK44" s="53"/>
      <c r="AL44" s="21" t="str">
        <f>IFERROR(VLOOKUP(May[[#This Row],[Drug Name5]],'Data Options'!$R$1:$S$100,2,FALSE), " ")</f>
        <v xml:space="preserve"> </v>
      </c>
      <c r="AM44" s="32"/>
      <c r="AN44" s="32"/>
      <c r="AO44" s="53"/>
      <c r="AP44" s="21" t="str">
        <f>IFERROR(VLOOKUP(May[[#This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21" t="str">
        <f>IFERROR(VLOOKUP(May[[#This Row],[Drug Name7]],'Data Options'!$R$1:$S$100,2,FALSE), " ")</f>
        <v xml:space="preserve"> </v>
      </c>
      <c r="AZ44" s="32"/>
      <c r="BA44" s="32"/>
      <c r="BB44" s="53"/>
      <c r="BC44" s="21" t="str">
        <f>IFERROR(VLOOKUP(May[[#This Row],[Drug Name8]],'Data Options'!$R$1:$S$100,2,FALSE), " ")</f>
        <v xml:space="preserve"> </v>
      </c>
      <c r="BD44" s="32"/>
      <c r="BE44" s="32"/>
      <c r="BF44" s="53"/>
      <c r="BG44" s="21" t="str">
        <f>IFERROR(VLOOKUP(May[[#This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21" t="str">
        <f>IFERROR(VLOOKUP(May[[#This Row],[Drug Name]],'Data Options'!$R$1:$S$100,2,FALSE), " ")</f>
        <v xml:space="preserve"> </v>
      </c>
      <c r="R45" s="32"/>
      <c r="S45" s="32"/>
      <c r="T45" s="53"/>
      <c r="U45" s="21" t="str">
        <f>IFERROR(VLOOKUP(May[[#This Row],[Drug Name2]],'Data Options'!$R$1:$S$100,2,FALSE), " ")</f>
        <v xml:space="preserve"> </v>
      </c>
      <c r="V45" s="32"/>
      <c r="W45" s="32"/>
      <c r="X45" s="53"/>
      <c r="Y45" s="21" t="str">
        <f>IFERROR(VLOOKUP(May[[#This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21" t="str">
        <f>IFERROR(VLOOKUP(May[[#This Row],[Drug Name4]],'Data Options'!$R$1:$S$100,2,FALSE), " ")</f>
        <v xml:space="preserve"> </v>
      </c>
      <c r="AI45" s="32"/>
      <c r="AJ45" s="32"/>
      <c r="AK45" s="53"/>
      <c r="AL45" s="21" t="str">
        <f>IFERROR(VLOOKUP(May[[#This Row],[Drug Name5]],'Data Options'!$R$1:$S$100,2,FALSE), " ")</f>
        <v xml:space="preserve"> </v>
      </c>
      <c r="AM45" s="32"/>
      <c r="AN45" s="32"/>
      <c r="AO45" s="53"/>
      <c r="AP45" s="21" t="str">
        <f>IFERROR(VLOOKUP(May[[#This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21" t="str">
        <f>IFERROR(VLOOKUP(May[[#This Row],[Drug Name7]],'Data Options'!$R$1:$S$100,2,FALSE), " ")</f>
        <v xml:space="preserve"> </v>
      </c>
      <c r="AZ45" s="32"/>
      <c r="BA45" s="32"/>
      <c r="BB45" s="53"/>
      <c r="BC45" s="21" t="str">
        <f>IFERROR(VLOOKUP(May[[#This Row],[Drug Name8]],'Data Options'!$R$1:$S$100,2,FALSE), " ")</f>
        <v xml:space="preserve"> </v>
      </c>
      <c r="BD45" s="32"/>
      <c r="BE45" s="32"/>
      <c r="BF45" s="53"/>
      <c r="BG45" s="21" t="str">
        <f>IFERROR(VLOOKUP(May[[#This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21" t="str">
        <f>IFERROR(VLOOKUP(May[[#This Row],[Drug Name]],'Data Options'!$R$1:$S$100,2,FALSE), " ")</f>
        <v xml:space="preserve"> </v>
      </c>
      <c r="R46" s="32"/>
      <c r="S46" s="32"/>
      <c r="T46" s="53"/>
      <c r="U46" s="21" t="str">
        <f>IFERROR(VLOOKUP(May[[#This Row],[Drug Name2]],'Data Options'!$R$1:$S$100,2,FALSE), " ")</f>
        <v xml:space="preserve"> </v>
      </c>
      <c r="V46" s="32"/>
      <c r="W46" s="32"/>
      <c r="X46" s="53"/>
      <c r="Y46" s="21" t="str">
        <f>IFERROR(VLOOKUP(May[[#This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21" t="str">
        <f>IFERROR(VLOOKUP(May[[#This Row],[Drug Name4]],'Data Options'!$R$1:$S$100,2,FALSE), " ")</f>
        <v xml:space="preserve"> </v>
      </c>
      <c r="AI46" s="32"/>
      <c r="AJ46" s="32"/>
      <c r="AK46" s="53"/>
      <c r="AL46" s="21" t="str">
        <f>IFERROR(VLOOKUP(May[[#This Row],[Drug Name5]],'Data Options'!$R$1:$S$100,2,FALSE), " ")</f>
        <v xml:space="preserve"> </v>
      </c>
      <c r="AM46" s="32"/>
      <c r="AN46" s="32"/>
      <c r="AO46" s="53"/>
      <c r="AP46" s="21" t="str">
        <f>IFERROR(VLOOKUP(May[[#This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21" t="str">
        <f>IFERROR(VLOOKUP(May[[#This Row],[Drug Name7]],'Data Options'!$R$1:$S$100,2,FALSE), " ")</f>
        <v xml:space="preserve"> </v>
      </c>
      <c r="AZ46" s="32"/>
      <c r="BA46" s="32"/>
      <c r="BB46" s="53"/>
      <c r="BC46" s="21" t="str">
        <f>IFERROR(VLOOKUP(May[[#This Row],[Drug Name8]],'Data Options'!$R$1:$S$100,2,FALSE), " ")</f>
        <v xml:space="preserve"> </v>
      </c>
      <c r="BD46" s="32"/>
      <c r="BE46" s="32"/>
      <c r="BF46" s="53"/>
      <c r="BG46" s="21" t="str">
        <f>IFERROR(VLOOKUP(May[[#This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21" t="str">
        <f>IFERROR(VLOOKUP(May[[#This Row],[Drug Name]],'Data Options'!$R$1:$S$100,2,FALSE), " ")</f>
        <v xml:space="preserve"> </v>
      </c>
      <c r="R47" s="32"/>
      <c r="S47" s="32"/>
      <c r="T47" s="53"/>
      <c r="U47" s="21" t="str">
        <f>IFERROR(VLOOKUP(May[[#This Row],[Drug Name2]],'Data Options'!$R$1:$S$100,2,FALSE), " ")</f>
        <v xml:space="preserve"> </v>
      </c>
      <c r="V47" s="32"/>
      <c r="W47" s="32"/>
      <c r="X47" s="53"/>
      <c r="Y47" s="21" t="str">
        <f>IFERROR(VLOOKUP(May[[#This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21" t="str">
        <f>IFERROR(VLOOKUP(May[[#This Row],[Drug Name4]],'Data Options'!$R$1:$S$100,2,FALSE), " ")</f>
        <v xml:space="preserve"> </v>
      </c>
      <c r="AI47" s="32"/>
      <c r="AJ47" s="32"/>
      <c r="AK47" s="53"/>
      <c r="AL47" s="21" t="str">
        <f>IFERROR(VLOOKUP(May[[#This Row],[Drug Name5]],'Data Options'!$R$1:$S$100,2,FALSE), " ")</f>
        <v xml:space="preserve"> </v>
      </c>
      <c r="AM47" s="32"/>
      <c r="AN47" s="32"/>
      <c r="AO47" s="53"/>
      <c r="AP47" s="21" t="str">
        <f>IFERROR(VLOOKUP(May[[#This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21" t="str">
        <f>IFERROR(VLOOKUP(May[[#This Row],[Drug Name7]],'Data Options'!$R$1:$S$100,2,FALSE), " ")</f>
        <v xml:space="preserve"> </v>
      </c>
      <c r="AZ47" s="32"/>
      <c r="BA47" s="32"/>
      <c r="BB47" s="53"/>
      <c r="BC47" s="21" t="str">
        <f>IFERROR(VLOOKUP(May[[#This Row],[Drug Name8]],'Data Options'!$R$1:$S$100,2,FALSE), " ")</f>
        <v xml:space="preserve"> </v>
      </c>
      <c r="BD47" s="32"/>
      <c r="BE47" s="32"/>
      <c r="BF47" s="53"/>
      <c r="BG47" s="21" t="str">
        <f>IFERROR(VLOOKUP(May[[#This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21" t="str">
        <f>IFERROR(VLOOKUP(May[[#This Row],[Drug Name]],'Data Options'!$R$1:$S$100,2,FALSE), " ")</f>
        <v xml:space="preserve"> </v>
      </c>
      <c r="R48" s="32"/>
      <c r="S48" s="32"/>
      <c r="T48" s="53"/>
      <c r="U48" s="21" t="str">
        <f>IFERROR(VLOOKUP(May[[#This Row],[Drug Name2]],'Data Options'!$R$1:$S$100,2,FALSE), " ")</f>
        <v xml:space="preserve"> </v>
      </c>
      <c r="V48" s="32"/>
      <c r="W48" s="32"/>
      <c r="X48" s="53"/>
      <c r="Y48" s="21" t="str">
        <f>IFERROR(VLOOKUP(May[[#This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21" t="str">
        <f>IFERROR(VLOOKUP(May[[#This Row],[Drug Name4]],'Data Options'!$R$1:$S$100,2,FALSE), " ")</f>
        <v xml:space="preserve"> </v>
      </c>
      <c r="AI48" s="32"/>
      <c r="AJ48" s="32"/>
      <c r="AK48" s="53"/>
      <c r="AL48" s="21" t="str">
        <f>IFERROR(VLOOKUP(May[[#This Row],[Drug Name5]],'Data Options'!$R$1:$S$100,2,FALSE), " ")</f>
        <v xml:space="preserve"> </v>
      </c>
      <c r="AM48" s="32"/>
      <c r="AN48" s="32"/>
      <c r="AO48" s="53"/>
      <c r="AP48" s="21" t="str">
        <f>IFERROR(VLOOKUP(May[[#This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21" t="str">
        <f>IFERROR(VLOOKUP(May[[#This Row],[Drug Name7]],'Data Options'!$R$1:$S$100,2,FALSE), " ")</f>
        <v xml:space="preserve"> </v>
      </c>
      <c r="AZ48" s="32"/>
      <c r="BA48" s="32"/>
      <c r="BB48" s="53"/>
      <c r="BC48" s="21" t="str">
        <f>IFERROR(VLOOKUP(May[[#This Row],[Drug Name8]],'Data Options'!$R$1:$S$100,2,FALSE), " ")</f>
        <v xml:space="preserve"> </v>
      </c>
      <c r="BD48" s="32"/>
      <c r="BE48" s="32"/>
      <c r="BF48" s="53"/>
      <c r="BG48" s="21" t="str">
        <f>IFERROR(VLOOKUP(May[[#This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21" t="str">
        <f>IFERROR(VLOOKUP(May[[#This Row],[Drug Name]],'Data Options'!$R$1:$S$100,2,FALSE), " ")</f>
        <v xml:space="preserve"> </v>
      </c>
      <c r="R49" s="32"/>
      <c r="S49" s="32"/>
      <c r="T49" s="53"/>
      <c r="U49" s="21" t="str">
        <f>IFERROR(VLOOKUP(May[[#This Row],[Drug Name2]],'Data Options'!$R$1:$S$100,2,FALSE), " ")</f>
        <v xml:space="preserve"> </v>
      </c>
      <c r="V49" s="32"/>
      <c r="W49" s="32"/>
      <c r="X49" s="53"/>
      <c r="Y49" s="21" t="str">
        <f>IFERROR(VLOOKUP(May[[#This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21" t="str">
        <f>IFERROR(VLOOKUP(May[[#This Row],[Drug Name4]],'Data Options'!$R$1:$S$100,2,FALSE), " ")</f>
        <v xml:space="preserve"> </v>
      </c>
      <c r="AI49" s="32"/>
      <c r="AJ49" s="32"/>
      <c r="AK49" s="53"/>
      <c r="AL49" s="21" t="str">
        <f>IFERROR(VLOOKUP(May[[#This Row],[Drug Name5]],'Data Options'!$R$1:$S$100,2,FALSE), " ")</f>
        <v xml:space="preserve"> </v>
      </c>
      <c r="AM49" s="32"/>
      <c r="AN49" s="32"/>
      <c r="AO49" s="53"/>
      <c r="AP49" s="21" t="str">
        <f>IFERROR(VLOOKUP(May[[#This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21" t="str">
        <f>IFERROR(VLOOKUP(May[[#This Row],[Drug Name7]],'Data Options'!$R$1:$S$100,2,FALSE), " ")</f>
        <v xml:space="preserve"> </v>
      </c>
      <c r="AZ49" s="32"/>
      <c r="BA49" s="32"/>
      <c r="BB49" s="53"/>
      <c r="BC49" s="21" t="str">
        <f>IFERROR(VLOOKUP(May[[#This Row],[Drug Name8]],'Data Options'!$R$1:$S$100,2,FALSE), " ")</f>
        <v xml:space="preserve"> </v>
      </c>
      <c r="BD49" s="32"/>
      <c r="BE49" s="32"/>
      <c r="BF49" s="53"/>
      <c r="BG49" s="21" t="str">
        <f>IFERROR(VLOOKUP(May[[#This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21" t="str">
        <f>IFERROR(VLOOKUP(May[[#This Row],[Drug Name]],'Data Options'!$R$1:$S$100,2,FALSE), " ")</f>
        <v xml:space="preserve"> </v>
      </c>
      <c r="R50" s="32"/>
      <c r="S50" s="32"/>
      <c r="T50" s="53"/>
      <c r="U50" s="21" t="str">
        <f>IFERROR(VLOOKUP(May[[#This Row],[Drug Name2]],'Data Options'!$R$1:$S$100,2,FALSE), " ")</f>
        <v xml:space="preserve"> </v>
      </c>
      <c r="V50" s="32"/>
      <c r="W50" s="32"/>
      <c r="X50" s="53"/>
      <c r="Y50" s="21" t="str">
        <f>IFERROR(VLOOKUP(May[[#This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21" t="str">
        <f>IFERROR(VLOOKUP(May[[#This Row],[Drug Name4]],'Data Options'!$R$1:$S$100,2,FALSE), " ")</f>
        <v xml:space="preserve"> </v>
      </c>
      <c r="AI50" s="32"/>
      <c r="AJ50" s="32"/>
      <c r="AK50" s="53"/>
      <c r="AL50" s="21" t="str">
        <f>IFERROR(VLOOKUP(May[[#This Row],[Drug Name5]],'Data Options'!$R$1:$S$100,2,FALSE), " ")</f>
        <v xml:space="preserve"> </v>
      </c>
      <c r="AM50" s="32"/>
      <c r="AN50" s="32"/>
      <c r="AO50" s="53"/>
      <c r="AP50" s="21" t="str">
        <f>IFERROR(VLOOKUP(May[[#This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21" t="str">
        <f>IFERROR(VLOOKUP(May[[#This Row],[Drug Name7]],'Data Options'!$R$1:$S$100,2,FALSE), " ")</f>
        <v xml:space="preserve"> </v>
      </c>
      <c r="AZ50" s="32"/>
      <c r="BA50" s="32"/>
      <c r="BB50" s="53"/>
      <c r="BC50" s="21" t="str">
        <f>IFERROR(VLOOKUP(May[[#This Row],[Drug Name8]],'Data Options'!$R$1:$S$100,2,FALSE), " ")</f>
        <v xml:space="preserve"> </v>
      </c>
      <c r="BD50" s="32"/>
      <c r="BE50" s="32"/>
      <c r="BF50" s="53"/>
      <c r="BG50" s="21" t="str">
        <f>IFERROR(VLOOKUP(May[[#This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21" t="str">
        <f>IFERROR(VLOOKUP(May[[#This Row],[Drug Name]],'Data Options'!$R$1:$S$100,2,FALSE), " ")</f>
        <v xml:space="preserve"> </v>
      </c>
      <c r="R51" s="32"/>
      <c r="S51" s="32"/>
      <c r="T51" s="53"/>
      <c r="U51" s="21" t="str">
        <f>IFERROR(VLOOKUP(May[[#This Row],[Drug Name2]],'Data Options'!$R$1:$S$100,2,FALSE), " ")</f>
        <v xml:space="preserve"> </v>
      </c>
      <c r="V51" s="32"/>
      <c r="W51" s="32"/>
      <c r="X51" s="53"/>
      <c r="Y51" s="21" t="str">
        <f>IFERROR(VLOOKUP(May[[#This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21" t="str">
        <f>IFERROR(VLOOKUP(May[[#This Row],[Drug Name4]],'Data Options'!$R$1:$S$100,2,FALSE), " ")</f>
        <v xml:space="preserve"> </v>
      </c>
      <c r="AI51" s="32"/>
      <c r="AJ51" s="32"/>
      <c r="AK51" s="53"/>
      <c r="AL51" s="21" t="str">
        <f>IFERROR(VLOOKUP(May[[#This Row],[Drug Name5]],'Data Options'!$R$1:$S$100,2,FALSE), " ")</f>
        <v xml:space="preserve"> </v>
      </c>
      <c r="AM51" s="32"/>
      <c r="AN51" s="32"/>
      <c r="AO51" s="53"/>
      <c r="AP51" s="21" t="str">
        <f>IFERROR(VLOOKUP(May[[#This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21" t="str">
        <f>IFERROR(VLOOKUP(May[[#This Row],[Drug Name7]],'Data Options'!$R$1:$S$100,2,FALSE), " ")</f>
        <v xml:space="preserve"> </v>
      </c>
      <c r="AZ51" s="32"/>
      <c r="BA51" s="32"/>
      <c r="BB51" s="53"/>
      <c r="BC51" s="21" t="str">
        <f>IFERROR(VLOOKUP(May[[#This Row],[Drug Name8]],'Data Options'!$R$1:$S$100,2,FALSE), " ")</f>
        <v xml:space="preserve"> </v>
      </c>
      <c r="BD51" s="32"/>
      <c r="BE51" s="32"/>
      <c r="BF51" s="53"/>
      <c r="BG51" s="21" t="str">
        <f>IFERROR(VLOOKUP(May[[#This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21" t="str">
        <f>IFERROR(VLOOKUP(May[[#This Row],[Drug Name]],'Data Options'!$R$1:$S$100,2,FALSE), " ")</f>
        <v xml:space="preserve"> </v>
      </c>
      <c r="R52" s="32"/>
      <c r="S52" s="32"/>
      <c r="T52" s="53"/>
      <c r="U52" s="21" t="str">
        <f>IFERROR(VLOOKUP(May[[#This Row],[Drug Name2]],'Data Options'!$R$1:$S$100,2,FALSE), " ")</f>
        <v xml:space="preserve"> </v>
      </c>
      <c r="V52" s="32"/>
      <c r="W52" s="32"/>
      <c r="X52" s="53"/>
      <c r="Y52" s="21" t="str">
        <f>IFERROR(VLOOKUP(May[[#This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21" t="str">
        <f>IFERROR(VLOOKUP(May[[#This Row],[Drug Name4]],'Data Options'!$R$1:$S$100,2,FALSE), " ")</f>
        <v xml:space="preserve"> </v>
      </c>
      <c r="AI52" s="32"/>
      <c r="AJ52" s="32"/>
      <c r="AK52" s="53"/>
      <c r="AL52" s="21" t="str">
        <f>IFERROR(VLOOKUP(May[[#This Row],[Drug Name5]],'Data Options'!$R$1:$S$100,2,FALSE), " ")</f>
        <v xml:space="preserve"> </v>
      </c>
      <c r="AM52" s="32"/>
      <c r="AN52" s="32"/>
      <c r="AO52" s="53"/>
      <c r="AP52" s="21" t="str">
        <f>IFERROR(VLOOKUP(May[[#This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21" t="str">
        <f>IFERROR(VLOOKUP(May[[#This Row],[Drug Name7]],'Data Options'!$R$1:$S$100,2,FALSE), " ")</f>
        <v xml:space="preserve"> </v>
      </c>
      <c r="AZ52" s="32"/>
      <c r="BA52" s="32"/>
      <c r="BB52" s="53"/>
      <c r="BC52" s="21" t="str">
        <f>IFERROR(VLOOKUP(May[[#This Row],[Drug Name8]],'Data Options'!$R$1:$S$100,2,FALSE), " ")</f>
        <v xml:space="preserve"> </v>
      </c>
      <c r="BD52" s="32"/>
      <c r="BE52" s="32"/>
      <c r="BF52" s="53"/>
      <c r="BG52" s="21" t="str">
        <f>IFERROR(VLOOKUP(May[[#This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21" t="str">
        <f>IFERROR(VLOOKUP(May[[#This Row],[Drug Name]],'Data Options'!$R$1:$S$100,2,FALSE), " ")</f>
        <v xml:space="preserve"> </v>
      </c>
      <c r="R53" s="32"/>
      <c r="S53" s="32"/>
      <c r="T53" s="53"/>
      <c r="U53" s="21" t="str">
        <f>IFERROR(VLOOKUP(May[[#This Row],[Drug Name2]],'Data Options'!$R$1:$S$100,2,FALSE), " ")</f>
        <v xml:space="preserve"> </v>
      </c>
      <c r="V53" s="32"/>
      <c r="W53" s="32"/>
      <c r="X53" s="53"/>
      <c r="Y53" s="21" t="str">
        <f>IFERROR(VLOOKUP(May[[#This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21" t="str">
        <f>IFERROR(VLOOKUP(May[[#This Row],[Drug Name4]],'Data Options'!$R$1:$S$100,2,FALSE), " ")</f>
        <v xml:space="preserve"> </v>
      </c>
      <c r="AI53" s="32"/>
      <c r="AJ53" s="32"/>
      <c r="AK53" s="53"/>
      <c r="AL53" s="21" t="str">
        <f>IFERROR(VLOOKUP(May[[#This Row],[Drug Name5]],'Data Options'!$R$1:$S$100,2,FALSE), " ")</f>
        <v xml:space="preserve"> </v>
      </c>
      <c r="AM53" s="32"/>
      <c r="AN53" s="32"/>
      <c r="AO53" s="53"/>
      <c r="AP53" s="21" t="str">
        <f>IFERROR(VLOOKUP(May[[#This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21" t="str">
        <f>IFERROR(VLOOKUP(May[[#This Row],[Drug Name7]],'Data Options'!$R$1:$S$100,2,FALSE), " ")</f>
        <v xml:space="preserve"> </v>
      </c>
      <c r="AZ53" s="32"/>
      <c r="BA53" s="32"/>
      <c r="BB53" s="53"/>
      <c r="BC53" s="21" t="str">
        <f>IFERROR(VLOOKUP(May[[#This Row],[Drug Name8]],'Data Options'!$R$1:$S$100,2,FALSE), " ")</f>
        <v xml:space="preserve"> </v>
      </c>
      <c r="BD53" s="32"/>
      <c r="BE53" s="32"/>
      <c r="BF53" s="53"/>
      <c r="BG53" s="21" t="str">
        <f>IFERROR(VLOOKUP(May[[#This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21" t="str">
        <f>IFERROR(VLOOKUP(May[[#This Row],[Drug Name]],'Data Options'!$R$1:$S$100,2,FALSE), " ")</f>
        <v xml:space="preserve"> </v>
      </c>
      <c r="R54" s="32"/>
      <c r="S54" s="32"/>
      <c r="T54" s="53"/>
      <c r="U54" s="21" t="str">
        <f>IFERROR(VLOOKUP(May[[#This Row],[Drug Name2]],'Data Options'!$R$1:$S$100,2,FALSE), " ")</f>
        <v xml:space="preserve"> </v>
      </c>
      <c r="V54" s="32"/>
      <c r="W54" s="32"/>
      <c r="X54" s="53"/>
      <c r="Y54" s="21" t="str">
        <f>IFERROR(VLOOKUP(May[[#This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21" t="str">
        <f>IFERROR(VLOOKUP(May[[#This Row],[Drug Name4]],'Data Options'!$R$1:$S$100,2,FALSE), " ")</f>
        <v xml:space="preserve"> </v>
      </c>
      <c r="AI54" s="32"/>
      <c r="AJ54" s="32"/>
      <c r="AK54" s="53"/>
      <c r="AL54" s="21" t="str">
        <f>IFERROR(VLOOKUP(May[[#This Row],[Drug Name5]],'Data Options'!$R$1:$S$100,2,FALSE), " ")</f>
        <v xml:space="preserve"> </v>
      </c>
      <c r="AM54" s="32"/>
      <c r="AN54" s="32"/>
      <c r="AO54" s="53"/>
      <c r="AP54" s="21" t="str">
        <f>IFERROR(VLOOKUP(May[[#This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21" t="str">
        <f>IFERROR(VLOOKUP(May[[#This Row],[Drug Name7]],'Data Options'!$R$1:$S$100,2,FALSE), " ")</f>
        <v xml:space="preserve"> </v>
      </c>
      <c r="AZ54" s="32"/>
      <c r="BA54" s="32"/>
      <c r="BB54" s="53"/>
      <c r="BC54" s="21" t="str">
        <f>IFERROR(VLOOKUP(May[[#This Row],[Drug Name8]],'Data Options'!$R$1:$S$100,2,FALSE), " ")</f>
        <v xml:space="preserve"> </v>
      </c>
      <c r="BD54" s="32"/>
      <c r="BE54" s="32"/>
      <c r="BF54" s="53"/>
      <c r="BG54" s="21" t="str">
        <f>IFERROR(VLOOKUP(May[[#This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21" t="str">
        <f>IFERROR(VLOOKUP(May[[#This Row],[Drug Name]],'Data Options'!$R$1:$S$100,2,FALSE), " ")</f>
        <v xml:space="preserve"> </v>
      </c>
      <c r="R55" s="32"/>
      <c r="S55" s="32"/>
      <c r="T55" s="53"/>
      <c r="U55" s="21" t="str">
        <f>IFERROR(VLOOKUP(May[[#This Row],[Drug Name2]],'Data Options'!$R$1:$S$100,2,FALSE), " ")</f>
        <v xml:space="preserve"> </v>
      </c>
      <c r="V55" s="32"/>
      <c r="W55" s="32"/>
      <c r="X55" s="53"/>
      <c r="Y55" s="21" t="str">
        <f>IFERROR(VLOOKUP(May[[#This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21" t="str">
        <f>IFERROR(VLOOKUP(May[[#This Row],[Drug Name4]],'Data Options'!$R$1:$S$100,2,FALSE), " ")</f>
        <v xml:space="preserve"> </v>
      </c>
      <c r="AI55" s="32"/>
      <c r="AJ55" s="32"/>
      <c r="AK55" s="53"/>
      <c r="AL55" s="21" t="str">
        <f>IFERROR(VLOOKUP(May[[#This Row],[Drug Name5]],'Data Options'!$R$1:$S$100,2,FALSE), " ")</f>
        <v xml:space="preserve"> </v>
      </c>
      <c r="AM55" s="32"/>
      <c r="AN55" s="32"/>
      <c r="AO55" s="53"/>
      <c r="AP55" s="21" t="str">
        <f>IFERROR(VLOOKUP(May[[#This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21" t="str">
        <f>IFERROR(VLOOKUP(May[[#This Row],[Drug Name7]],'Data Options'!$R$1:$S$100,2,FALSE), " ")</f>
        <v xml:space="preserve"> </v>
      </c>
      <c r="AZ55" s="32"/>
      <c r="BA55" s="32"/>
      <c r="BB55" s="53"/>
      <c r="BC55" s="21" t="str">
        <f>IFERROR(VLOOKUP(May[[#This Row],[Drug Name8]],'Data Options'!$R$1:$S$100,2,FALSE), " ")</f>
        <v xml:space="preserve"> </v>
      </c>
      <c r="BD55" s="32"/>
      <c r="BE55" s="32"/>
      <c r="BF55" s="53"/>
      <c r="BG55" s="21" t="str">
        <f>IFERROR(VLOOKUP(May[[#This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21" t="str">
        <f>IFERROR(VLOOKUP(May[[#This Row],[Drug Name]],'Data Options'!$R$1:$S$100,2,FALSE), " ")</f>
        <v xml:space="preserve"> </v>
      </c>
      <c r="R56" s="32"/>
      <c r="S56" s="32"/>
      <c r="T56" s="53"/>
      <c r="U56" s="21" t="str">
        <f>IFERROR(VLOOKUP(May[[#This Row],[Drug Name2]],'Data Options'!$R$1:$S$100,2,FALSE), " ")</f>
        <v xml:space="preserve"> </v>
      </c>
      <c r="V56" s="32"/>
      <c r="W56" s="32"/>
      <c r="X56" s="53"/>
      <c r="Y56" s="21" t="str">
        <f>IFERROR(VLOOKUP(May[[#This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21" t="str">
        <f>IFERROR(VLOOKUP(May[[#This Row],[Drug Name4]],'Data Options'!$R$1:$S$100,2,FALSE), " ")</f>
        <v xml:space="preserve"> </v>
      </c>
      <c r="AI56" s="32"/>
      <c r="AJ56" s="32"/>
      <c r="AK56" s="53"/>
      <c r="AL56" s="21" t="str">
        <f>IFERROR(VLOOKUP(May[[#This Row],[Drug Name5]],'Data Options'!$R$1:$S$100,2,FALSE), " ")</f>
        <v xml:space="preserve"> </v>
      </c>
      <c r="AM56" s="32"/>
      <c r="AN56" s="32"/>
      <c r="AO56" s="53"/>
      <c r="AP56" s="21" t="str">
        <f>IFERROR(VLOOKUP(May[[#This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21" t="str">
        <f>IFERROR(VLOOKUP(May[[#This Row],[Drug Name7]],'Data Options'!$R$1:$S$100,2,FALSE), " ")</f>
        <v xml:space="preserve"> </v>
      </c>
      <c r="AZ56" s="32"/>
      <c r="BA56" s="32"/>
      <c r="BB56" s="53"/>
      <c r="BC56" s="21" t="str">
        <f>IFERROR(VLOOKUP(May[[#This Row],[Drug Name8]],'Data Options'!$R$1:$S$100,2,FALSE), " ")</f>
        <v xml:space="preserve"> </v>
      </c>
      <c r="BD56" s="32"/>
      <c r="BE56" s="32"/>
      <c r="BF56" s="53"/>
      <c r="BG56" s="21" t="str">
        <f>IFERROR(VLOOKUP(May[[#This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21" t="str">
        <f>IFERROR(VLOOKUP(May[[#This Row],[Drug Name]],'Data Options'!$R$1:$S$100,2,FALSE), " ")</f>
        <v xml:space="preserve"> </v>
      </c>
      <c r="R57" s="32"/>
      <c r="S57" s="32"/>
      <c r="T57" s="53"/>
      <c r="U57" s="21" t="str">
        <f>IFERROR(VLOOKUP(May[[#This Row],[Drug Name2]],'Data Options'!$R$1:$S$100,2,FALSE), " ")</f>
        <v xml:space="preserve"> </v>
      </c>
      <c r="V57" s="32"/>
      <c r="W57" s="32"/>
      <c r="X57" s="53"/>
      <c r="Y57" s="21" t="str">
        <f>IFERROR(VLOOKUP(May[[#This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21" t="str">
        <f>IFERROR(VLOOKUP(May[[#This Row],[Drug Name4]],'Data Options'!$R$1:$S$100,2,FALSE), " ")</f>
        <v xml:space="preserve"> </v>
      </c>
      <c r="AI57" s="32"/>
      <c r="AJ57" s="32"/>
      <c r="AK57" s="53"/>
      <c r="AL57" s="21" t="str">
        <f>IFERROR(VLOOKUP(May[[#This Row],[Drug Name5]],'Data Options'!$R$1:$S$100,2,FALSE), " ")</f>
        <v xml:space="preserve"> </v>
      </c>
      <c r="AM57" s="32"/>
      <c r="AN57" s="32"/>
      <c r="AO57" s="53"/>
      <c r="AP57" s="21" t="str">
        <f>IFERROR(VLOOKUP(May[[#This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21" t="str">
        <f>IFERROR(VLOOKUP(May[[#This Row],[Drug Name7]],'Data Options'!$R$1:$S$100,2,FALSE), " ")</f>
        <v xml:space="preserve"> </v>
      </c>
      <c r="AZ57" s="32"/>
      <c r="BA57" s="32"/>
      <c r="BB57" s="53"/>
      <c r="BC57" s="21" t="str">
        <f>IFERROR(VLOOKUP(May[[#This Row],[Drug Name8]],'Data Options'!$R$1:$S$100,2,FALSE), " ")</f>
        <v xml:space="preserve"> </v>
      </c>
      <c r="BD57" s="32"/>
      <c r="BE57" s="32"/>
      <c r="BF57" s="53"/>
      <c r="BG57" s="21" t="str">
        <f>IFERROR(VLOOKUP(May[[#This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21" t="str">
        <f>IFERROR(VLOOKUP(May[[#This Row],[Drug Name]],'Data Options'!$R$1:$S$100,2,FALSE), " ")</f>
        <v xml:space="preserve"> </v>
      </c>
      <c r="R58" s="32"/>
      <c r="S58" s="32"/>
      <c r="T58" s="53"/>
      <c r="U58" s="21" t="str">
        <f>IFERROR(VLOOKUP(May[[#This Row],[Drug Name2]],'Data Options'!$R$1:$S$100,2,FALSE), " ")</f>
        <v xml:space="preserve"> </v>
      </c>
      <c r="V58" s="32"/>
      <c r="W58" s="32"/>
      <c r="X58" s="53"/>
      <c r="Y58" s="21" t="str">
        <f>IFERROR(VLOOKUP(May[[#This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21" t="str">
        <f>IFERROR(VLOOKUP(May[[#This Row],[Drug Name4]],'Data Options'!$R$1:$S$100,2,FALSE), " ")</f>
        <v xml:space="preserve"> </v>
      </c>
      <c r="AI58" s="32"/>
      <c r="AJ58" s="32"/>
      <c r="AK58" s="53"/>
      <c r="AL58" s="21" t="str">
        <f>IFERROR(VLOOKUP(May[[#This Row],[Drug Name5]],'Data Options'!$R$1:$S$100,2,FALSE), " ")</f>
        <v xml:space="preserve"> </v>
      </c>
      <c r="AM58" s="32"/>
      <c r="AN58" s="32"/>
      <c r="AO58" s="53"/>
      <c r="AP58" s="21" t="str">
        <f>IFERROR(VLOOKUP(May[[#This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21" t="str">
        <f>IFERROR(VLOOKUP(May[[#This Row],[Drug Name7]],'Data Options'!$R$1:$S$100,2,FALSE), " ")</f>
        <v xml:space="preserve"> </v>
      </c>
      <c r="AZ58" s="32"/>
      <c r="BA58" s="32"/>
      <c r="BB58" s="53"/>
      <c r="BC58" s="21" t="str">
        <f>IFERROR(VLOOKUP(May[[#This Row],[Drug Name8]],'Data Options'!$R$1:$S$100,2,FALSE), " ")</f>
        <v xml:space="preserve"> </v>
      </c>
      <c r="BD58" s="32"/>
      <c r="BE58" s="32"/>
      <c r="BF58" s="53"/>
      <c r="BG58" s="21" t="str">
        <f>IFERROR(VLOOKUP(May[[#This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21" t="str">
        <f>IFERROR(VLOOKUP(May[[#This Row],[Drug Name]],'Data Options'!$R$1:$S$100,2,FALSE), " ")</f>
        <v xml:space="preserve"> </v>
      </c>
      <c r="R59" s="32"/>
      <c r="S59" s="32"/>
      <c r="T59" s="53"/>
      <c r="U59" s="21" t="str">
        <f>IFERROR(VLOOKUP(May[[#This Row],[Drug Name2]],'Data Options'!$R$1:$S$100,2,FALSE), " ")</f>
        <v xml:space="preserve"> </v>
      </c>
      <c r="V59" s="32"/>
      <c r="W59" s="32"/>
      <c r="X59" s="53"/>
      <c r="Y59" s="21" t="str">
        <f>IFERROR(VLOOKUP(May[[#This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21" t="str">
        <f>IFERROR(VLOOKUP(May[[#This Row],[Drug Name4]],'Data Options'!$R$1:$S$100,2,FALSE), " ")</f>
        <v xml:space="preserve"> </v>
      </c>
      <c r="AI59" s="32"/>
      <c r="AJ59" s="32"/>
      <c r="AK59" s="53"/>
      <c r="AL59" s="21" t="str">
        <f>IFERROR(VLOOKUP(May[[#This Row],[Drug Name5]],'Data Options'!$R$1:$S$100,2,FALSE), " ")</f>
        <v xml:space="preserve"> </v>
      </c>
      <c r="AM59" s="32"/>
      <c r="AN59" s="32"/>
      <c r="AO59" s="53"/>
      <c r="AP59" s="21" t="str">
        <f>IFERROR(VLOOKUP(May[[#This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21" t="str">
        <f>IFERROR(VLOOKUP(May[[#This Row],[Drug Name7]],'Data Options'!$R$1:$S$100,2,FALSE), " ")</f>
        <v xml:space="preserve"> </v>
      </c>
      <c r="AZ59" s="32"/>
      <c r="BA59" s="32"/>
      <c r="BB59" s="53"/>
      <c r="BC59" s="21" t="str">
        <f>IFERROR(VLOOKUP(May[[#This Row],[Drug Name8]],'Data Options'!$R$1:$S$100,2,FALSE), " ")</f>
        <v xml:space="preserve"> </v>
      </c>
      <c r="BD59" s="32"/>
      <c r="BE59" s="32"/>
      <c r="BF59" s="53"/>
      <c r="BG59" s="21" t="str">
        <f>IFERROR(VLOOKUP(May[[#This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21" t="str">
        <f>IFERROR(VLOOKUP(May[[#This Row],[Drug Name]],'Data Options'!$R$1:$S$100,2,FALSE), " ")</f>
        <v xml:space="preserve"> </v>
      </c>
      <c r="R60" s="32"/>
      <c r="S60" s="32"/>
      <c r="T60" s="53"/>
      <c r="U60" s="21" t="str">
        <f>IFERROR(VLOOKUP(May[[#This Row],[Drug Name2]],'Data Options'!$R$1:$S$100,2,FALSE), " ")</f>
        <v xml:space="preserve"> </v>
      </c>
      <c r="V60" s="32"/>
      <c r="W60" s="32"/>
      <c r="X60" s="53"/>
      <c r="Y60" s="21" t="str">
        <f>IFERROR(VLOOKUP(May[[#This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21" t="str">
        <f>IFERROR(VLOOKUP(May[[#This Row],[Drug Name4]],'Data Options'!$R$1:$S$100,2,FALSE), " ")</f>
        <v xml:space="preserve"> </v>
      </c>
      <c r="AI60" s="32"/>
      <c r="AJ60" s="32"/>
      <c r="AK60" s="53"/>
      <c r="AL60" s="21" t="str">
        <f>IFERROR(VLOOKUP(May[[#This Row],[Drug Name5]],'Data Options'!$R$1:$S$100,2,FALSE), " ")</f>
        <v xml:space="preserve"> </v>
      </c>
      <c r="AM60" s="32"/>
      <c r="AN60" s="32"/>
      <c r="AO60" s="53"/>
      <c r="AP60" s="21" t="str">
        <f>IFERROR(VLOOKUP(May[[#This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21" t="str">
        <f>IFERROR(VLOOKUP(May[[#This Row],[Drug Name7]],'Data Options'!$R$1:$S$100,2,FALSE), " ")</f>
        <v xml:space="preserve"> </v>
      </c>
      <c r="AZ60" s="32"/>
      <c r="BA60" s="32"/>
      <c r="BB60" s="53"/>
      <c r="BC60" s="21" t="str">
        <f>IFERROR(VLOOKUP(May[[#This Row],[Drug Name8]],'Data Options'!$R$1:$S$100,2,FALSE), " ")</f>
        <v xml:space="preserve"> </v>
      </c>
      <c r="BD60" s="32"/>
      <c r="BE60" s="32"/>
      <c r="BF60" s="53"/>
      <c r="BG60" s="21" t="str">
        <f>IFERROR(VLOOKUP(May[[#This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21" t="str">
        <f>IFERROR(VLOOKUP(May[[#This Row],[Drug Name]],'Data Options'!$R$1:$S$100,2,FALSE), " ")</f>
        <v xml:space="preserve"> </v>
      </c>
      <c r="R61" s="32"/>
      <c r="S61" s="32"/>
      <c r="T61" s="53"/>
      <c r="U61" s="21" t="str">
        <f>IFERROR(VLOOKUP(May[[#This Row],[Drug Name2]],'Data Options'!$R$1:$S$100,2,FALSE), " ")</f>
        <v xml:space="preserve"> </v>
      </c>
      <c r="V61" s="32"/>
      <c r="W61" s="32"/>
      <c r="X61" s="53"/>
      <c r="Y61" s="21" t="str">
        <f>IFERROR(VLOOKUP(May[[#This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21" t="str">
        <f>IFERROR(VLOOKUP(May[[#This Row],[Drug Name4]],'Data Options'!$R$1:$S$100,2,FALSE), " ")</f>
        <v xml:space="preserve"> </v>
      </c>
      <c r="AI61" s="32"/>
      <c r="AJ61" s="32"/>
      <c r="AK61" s="53"/>
      <c r="AL61" s="21" t="str">
        <f>IFERROR(VLOOKUP(May[[#This Row],[Drug Name5]],'Data Options'!$R$1:$S$100,2,FALSE), " ")</f>
        <v xml:space="preserve"> </v>
      </c>
      <c r="AM61" s="32"/>
      <c r="AN61" s="32"/>
      <c r="AO61" s="53"/>
      <c r="AP61" s="21" t="str">
        <f>IFERROR(VLOOKUP(May[[#This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21" t="str">
        <f>IFERROR(VLOOKUP(May[[#This Row],[Drug Name7]],'Data Options'!$R$1:$S$100,2,FALSE), " ")</f>
        <v xml:space="preserve"> </v>
      </c>
      <c r="AZ61" s="32"/>
      <c r="BA61" s="32"/>
      <c r="BB61" s="53"/>
      <c r="BC61" s="21" t="str">
        <f>IFERROR(VLOOKUP(May[[#This Row],[Drug Name8]],'Data Options'!$R$1:$S$100,2,FALSE), " ")</f>
        <v xml:space="preserve"> </v>
      </c>
      <c r="BD61" s="32"/>
      <c r="BE61" s="32"/>
      <c r="BF61" s="53"/>
      <c r="BG61" s="21" t="str">
        <f>IFERROR(VLOOKUP(May[[#This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21" t="str">
        <f>IFERROR(VLOOKUP(May[[#This Row],[Drug Name]],'Data Options'!$R$1:$S$100,2,FALSE), " ")</f>
        <v xml:space="preserve"> </v>
      </c>
      <c r="R62" s="32"/>
      <c r="S62" s="32"/>
      <c r="T62" s="53"/>
      <c r="U62" s="21" t="str">
        <f>IFERROR(VLOOKUP(May[[#This Row],[Drug Name2]],'Data Options'!$R$1:$S$100,2,FALSE), " ")</f>
        <v xml:space="preserve"> </v>
      </c>
      <c r="V62" s="32"/>
      <c r="W62" s="32"/>
      <c r="X62" s="53"/>
      <c r="Y62" s="21" t="str">
        <f>IFERROR(VLOOKUP(May[[#This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21" t="str">
        <f>IFERROR(VLOOKUP(May[[#This Row],[Drug Name4]],'Data Options'!$R$1:$S$100,2,FALSE), " ")</f>
        <v xml:space="preserve"> </v>
      </c>
      <c r="AI62" s="32"/>
      <c r="AJ62" s="32"/>
      <c r="AK62" s="53"/>
      <c r="AL62" s="21" t="str">
        <f>IFERROR(VLOOKUP(May[[#This Row],[Drug Name5]],'Data Options'!$R$1:$S$100,2,FALSE), " ")</f>
        <v xml:space="preserve"> </v>
      </c>
      <c r="AM62" s="32"/>
      <c r="AN62" s="32"/>
      <c r="AO62" s="53"/>
      <c r="AP62" s="21" t="str">
        <f>IFERROR(VLOOKUP(May[[#This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21" t="str">
        <f>IFERROR(VLOOKUP(May[[#This Row],[Drug Name7]],'Data Options'!$R$1:$S$100,2,FALSE), " ")</f>
        <v xml:space="preserve"> </v>
      </c>
      <c r="AZ62" s="32"/>
      <c r="BA62" s="32"/>
      <c r="BB62" s="53"/>
      <c r="BC62" s="21" t="str">
        <f>IFERROR(VLOOKUP(May[[#This Row],[Drug Name8]],'Data Options'!$R$1:$S$100,2,FALSE), " ")</f>
        <v xml:space="preserve"> </v>
      </c>
      <c r="BD62" s="32"/>
      <c r="BE62" s="32"/>
      <c r="BF62" s="53"/>
      <c r="BG62" s="21" t="str">
        <f>IFERROR(VLOOKUP(May[[#This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21" t="str">
        <f>IFERROR(VLOOKUP(May[[#This Row],[Drug Name]],'Data Options'!$R$1:$S$100,2,FALSE), " ")</f>
        <v xml:space="preserve"> </v>
      </c>
      <c r="R63" s="32"/>
      <c r="S63" s="32"/>
      <c r="T63" s="53"/>
      <c r="U63" s="21" t="str">
        <f>IFERROR(VLOOKUP(May[[#This Row],[Drug Name2]],'Data Options'!$R$1:$S$100,2,FALSE), " ")</f>
        <v xml:space="preserve"> </v>
      </c>
      <c r="V63" s="32"/>
      <c r="W63" s="32"/>
      <c r="X63" s="53"/>
      <c r="Y63" s="21" t="str">
        <f>IFERROR(VLOOKUP(May[[#This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21" t="str">
        <f>IFERROR(VLOOKUP(May[[#This Row],[Drug Name4]],'Data Options'!$R$1:$S$100,2,FALSE), " ")</f>
        <v xml:space="preserve"> </v>
      </c>
      <c r="AI63" s="32"/>
      <c r="AJ63" s="32"/>
      <c r="AK63" s="53"/>
      <c r="AL63" s="21" t="str">
        <f>IFERROR(VLOOKUP(May[[#This Row],[Drug Name5]],'Data Options'!$R$1:$S$100,2,FALSE), " ")</f>
        <v xml:space="preserve"> </v>
      </c>
      <c r="AM63" s="32"/>
      <c r="AN63" s="32"/>
      <c r="AO63" s="53"/>
      <c r="AP63" s="21" t="str">
        <f>IFERROR(VLOOKUP(May[[#This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21" t="str">
        <f>IFERROR(VLOOKUP(May[[#This Row],[Drug Name7]],'Data Options'!$R$1:$S$100,2,FALSE), " ")</f>
        <v xml:space="preserve"> </v>
      </c>
      <c r="AZ63" s="32"/>
      <c r="BA63" s="32"/>
      <c r="BB63" s="53"/>
      <c r="BC63" s="21" t="str">
        <f>IFERROR(VLOOKUP(May[[#This Row],[Drug Name8]],'Data Options'!$R$1:$S$100,2,FALSE), " ")</f>
        <v xml:space="preserve"> </v>
      </c>
      <c r="BD63" s="32"/>
      <c r="BE63" s="32"/>
      <c r="BF63" s="53"/>
      <c r="BG63" s="21" t="str">
        <f>IFERROR(VLOOKUP(May[[#This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21" t="str">
        <f>IFERROR(VLOOKUP(May[[#This Row],[Drug Name]],'Data Options'!$R$1:$S$100,2,FALSE), " ")</f>
        <v xml:space="preserve"> </v>
      </c>
      <c r="R64" s="32"/>
      <c r="S64" s="32"/>
      <c r="T64" s="53"/>
      <c r="U64" s="21" t="str">
        <f>IFERROR(VLOOKUP(May[[#This Row],[Drug Name2]],'Data Options'!$R$1:$S$100,2,FALSE), " ")</f>
        <v xml:space="preserve"> </v>
      </c>
      <c r="V64" s="32"/>
      <c r="W64" s="32"/>
      <c r="X64" s="53"/>
      <c r="Y64" s="21" t="str">
        <f>IFERROR(VLOOKUP(May[[#This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21" t="str">
        <f>IFERROR(VLOOKUP(May[[#This Row],[Drug Name4]],'Data Options'!$R$1:$S$100,2,FALSE), " ")</f>
        <v xml:space="preserve"> </v>
      </c>
      <c r="AI64" s="32"/>
      <c r="AJ64" s="32"/>
      <c r="AK64" s="53"/>
      <c r="AL64" s="21" t="str">
        <f>IFERROR(VLOOKUP(May[[#This Row],[Drug Name5]],'Data Options'!$R$1:$S$100,2,FALSE), " ")</f>
        <v xml:space="preserve"> </v>
      </c>
      <c r="AM64" s="32"/>
      <c r="AN64" s="32"/>
      <c r="AO64" s="53"/>
      <c r="AP64" s="21" t="str">
        <f>IFERROR(VLOOKUP(May[[#This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21" t="str">
        <f>IFERROR(VLOOKUP(May[[#This Row],[Drug Name7]],'Data Options'!$R$1:$S$100,2,FALSE), " ")</f>
        <v xml:space="preserve"> </v>
      </c>
      <c r="AZ64" s="32"/>
      <c r="BA64" s="32"/>
      <c r="BB64" s="53"/>
      <c r="BC64" s="21" t="str">
        <f>IFERROR(VLOOKUP(May[[#This Row],[Drug Name8]],'Data Options'!$R$1:$S$100,2,FALSE), " ")</f>
        <v xml:space="preserve"> </v>
      </c>
      <c r="BD64" s="32"/>
      <c r="BE64" s="32"/>
      <c r="BF64" s="53"/>
      <c r="BG64" s="21" t="str">
        <f>IFERROR(VLOOKUP(May[[#This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21" t="str">
        <f>IFERROR(VLOOKUP(May[[#This Row],[Drug Name]],'Data Options'!$R$1:$S$100,2,FALSE), " ")</f>
        <v xml:space="preserve"> </v>
      </c>
      <c r="R65" s="32"/>
      <c r="S65" s="32"/>
      <c r="T65" s="53"/>
      <c r="U65" s="21" t="str">
        <f>IFERROR(VLOOKUP(May[[#This Row],[Drug Name2]],'Data Options'!$R$1:$S$100,2,FALSE), " ")</f>
        <v xml:space="preserve"> </v>
      </c>
      <c r="V65" s="32"/>
      <c r="W65" s="32"/>
      <c r="X65" s="53"/>
      <c r="Y65" s="21" t="str">
        <f>IFERROR(VLOOKUP(May[[#This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21" t="str">
        <f>IFERROR(VLOOKUP(May[[#This Row],[Drug Name4]],'Data Options'!$R$1:$S$100,2,FALSE), " ")</f>
        <v xml:space="preserve"> </v>
      </c>
      <c r="AI65" s="32"/>
      <c r="AJ65" s="32"/>
      <c r="AK65" s="53"/>
      <c r="AL65" s="21" t="str">
        <f>IFERROR(VLOOKUP(May[[#This Row],[Drug Name5]],'Data Options'!$R$1:$S$100,2,FALSE), " ")</f>
        <v xml:space="preserve"> </v>
      </c>
      <c r="AM65" s="32"/>
      <c r="AN65" s="32"/>
      <c r="AO65" s="53"/>
      <c r="AP65" s="21" t="str">
        <f>IFERROR(VLOOKUP(May[[#This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21" t="str">
        <f>IFERROR(VLOOKUP(May[[#This Row],[Drug Name7]],'Data Options'!$R$1:$S$100,2,FALSE), " ")</f>
        <v xml:space="preserve"> </v>
      </c>
      <c r="AZ65" s="32"/>
      <c r="BA65" s="32"/>
      <c r="BB65" s="53"/>
      <c r="BC65" s="21" t="str">
        <f>IFERROR(VLOOKUP(May[[#This Row],[Drug Name8]],'Data Options'!$R$1:$S$100,2,FALSE), " ")</f>
        <v xml:space="preserve"> </v>
      </c>
      <c r="BD65" s="32"/>
      <c r="BE65" s="32"/>
      <c r="BF65" s="53"/>
      <c r="BG65" s="21" t="str">
        <f>IFERROR(VLOOKUP(May[[#This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21" t="str">
        <f>IFERROR(VLOOKUP(May[[#This Row],[Drug Name]],'Data Options'!$R$1:$S$100,2,FALSE), " ")</f>
        <v xml:space="preserve"> </v>
      </c>
      <c r="R66" s="32"/>
      <c r="S66" s="32"/>
      <c r="T66" s="53"/>
      <c r="U66" s="21" t="str">
        <f>IFERROR(VLOOKUP(May[[#This Row],[Drug Name2]],'Data Options'!$R$1:$S$100,2,FALSE), " ")</f>
        <v xml:space="preserve"> </v>
      </c>
      <c r="V66" s="32"/>
      <c r="W66" s="32"/>
      <c r="X66" s="53"/>
      <c r="Y66" s="21" t="str">
        <f>IFERROR(VLOOKUP(May[[#This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21" t="str">
        <f>IFERROR(VLOOKUP(May[[#This Row],[Drug Name4]],'Data Options'!$R$1:$S$100,2,FALSE), " ")</f>
        <v xml:space="preserve"> </v>
      </c>
      <c r="AI66" s="32"/>
      <c r="AJ66" s="32"/>
      <c r="AK66" s="53"/>
      <c r="AL66" s="21" t="str">
        <f>IFERROR(VLOOKUP(May[[#This Row],[Drug Name5]],'Data Options'!$R$1:$S$100,2,FALSE), " ")</f>
        <v xml:space="preserve"> </v>
      </c>
      <c r="AM66" s="32"/>
      <c r="AN66" s="32"/>
      <c r="AO66" s="53"/>
      <c r="AP66" s="21" t="str">
        <f>IFERROR(VLOOKUP(May[[#This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21" t="str">
        <f>IFERROR(VLOOKUP(May[[#This Row],[Drug Name7]],'Data Options'!$R$1:$S$100,2,FALSE), " ")</f>
        <v xml:space="preserve"> </v>
      </c>
      <c r="AZ66" s="32"/>
      <c r="BA66" s="32"/>
      <c r="BB66" s="53"/>
      <c r="BC66" s="21" t="str">
        <f>IFERROR(VLOOKUP(May[[#This Row],[Drug Name8]],'Data Options'!$R$1:$S$100,2,FALSE), " ")</f>
        <v xml:space="preserve"> </v>
      </c>
      <c r="BD66" s="32"/>
      <c r="BE66" s="32"/>
      <c r="BF66" s="53"/>
      <c r="BG66" s="21" t="str">
        <f>IFERROR(VLOOKUP(May[[#This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21" t="str">
        <f>IFERROR(VLOOKUP(May[[#This Row],[Drug Name]],'Data Options'!$R$1:$S$100,2,FALSE), " ")</f>
        <v xml:space="preserve"> </v>
      </c>
      <c r="R67" s="32"/>
      <c r="S67" s="32"/>
      <c r="T67" s="53"/>
      <c r="U67" s="21" t="str">
        <f>IFERROR(VLOOKUP(May[[#This Row],[Drug Name2]],'Data Options'!$R$1:$S$100,2,FALSE), " ")</f>
        <v xml:space="preserve"> </v>
      </c>
      <c r="V67" s="32"/>
      <c r="W67" s="32"/>
      <c r="X67" s="53"/>
      <c r="Y67" s="21" t="str">
        <f>IFERROR(VLOOKUP(May[[#This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21" t="str">
        <f>IFERROR(VLOOKUP(May[[#This Row],[Drug Name4]],'Data Options'!$R$1:$S$100,2,FALSE), " ")</f>
        <v xml:space="preserve"> </v>
      </c>
      <c r="AI67" s="32"/>
      <c r="AJ67" s="32"/>
      <c r="AK67" s="53"/>
      <c r="AL67" s="21" t="str">
        <f>IFERROR(VLOOKUP(May[[#This Row],[Drug Name5]],'Data Options'!$R$1:$S$100,2,FALSE), " ")</f>
        <v xml:space="preserve"> </v>
      </c>
      <c r="AM67" s="32"/>
      <c r="AN67" s="32"/>
      <c r="AO67" s="53"/>
      <c r="AP67" s="21" t="str">
        <f>IFERROR(VLOOKUP(May[[#This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21" t="str">
        <f>IFERROR(VLOOKUP(May[[#This Row],[Drug Name7]],'Data Options'!$R$1:$S$100,2,FALSE), " ")</f>
        <v xml:space="preserve"> </v>
      </c>
      <c r="AZ67" s="32"/>
      <c r="BA67" s="32"/>
      <c r="BB67" s="53"/>
      <c r="BC67" s="21" t="str">
        <f>IFERROR(VLOOKUP(May[[#This Row],[Drug Name8]],'Data Options'!$R$1:$S$100,2,FALSE), " ")</f>
        <v xml:space="preserve"> </v>
      </c>
      <c r="BD67" s="32"/>
      <c r="BE67" s="32"/>
      <c r="BF67" s="53"/>
      <c r="BG67" s="21" t="str">
        <f>IFERROR(VLOOKUP(May[[#This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21" t="str">
        <f>IFERROR(VLOOKUP(May[[#This Row],[Drug Name]],'Data Options'!$R$1:$S$100,2,FALSE), " ")</f>
        <v xml:space="preserve"> </v>
      </c>
      <c r="R68" s="32"/>
      <c r="S68" s="32"/>
      <c r="T68" s="53"/>
      <c r="U68" s="21" t="str">
        <f>IFERROR(VLOOKUP(May[[#This Row],[Drug Name2]],'Data Options'!$R$1:$S$100,2,FALSE), " ")</f>
        <v xml:space="preserve"> </v>
      </c>
      <c r="V68" s="32"/>
      <c r="W68" s="32"/>
      <c r="X68" s="53"/>
      <c r="Y68" s="21" t="str">
        <f>IFERROR(VLOOKUP(May[[#This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21" t="str">
        <f>IFERROR(VLOOKUP(May[[#This Row],[Drug Name4]],'Data Options'!$R$1:$S$100,2,FALSE), " ")</f>
        <v xml:space="preserve"> </v>
      </c>
      <c r="AI68" s="32"/>
      <c r="AJ68" s="32"/>
      <c r="AK68" s="53"/>
      <c r="AL68" s="21" t="str">
        <f>IFERROR(VLOOKUP(May[[#This Row],[Drug Name5]],'Data Options'!$R$1:$S$100,2,FALSE), " ")</f>
        <v xml:space="preserve"> </v>
      </c>
      <c r="AM68" s="32"/>
      <c r="AN68" s="32"/>
      <c r="AO68" s="53"/>
      <c r="AP68" s="21" t="str">
        <f>IFERROR(VLOOKUP(May[[#This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21" t="str">
        <f>IFERROR(VLOOKUP(May[[#This Row],[Drug Name7]],'Data Options'!$R$1:$S$100,2,FALSE), " ")</f>
        <v xml:space="preserve"> </v>
      </c>
      <c r="AZ68" s="32"/>
      <c r="BA68" s="32"/>
      <c r="BB68" s="53"/>
      <c r="BC68" s="21" t="str">
        <f>IFERROR(VLOOKUP(May[[#This Row],[Drug Name8]],'Data Options'!$R$1:$S$100,2,FALSE), " ")</f>
        <v xml:space="preserve"> </v>
      </c>
      <c r="BD68" s="32"/>
      <c r="BE68" s="32"/>
      <c r="BF68" s="53"/>
      <c r="BG68" s="21" t="str">
        <f>IFERROR(VLOOKUP(May[[#This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21" t="str">
        <f>IFERROR(VLOOKUP(May[[#This Row],[Drug Name]],'Data Options'!$R$1:$S$100,2,FALSE), " ")</f>
        <v xml:space="preserve"> </v>
      </c>
      <c r="R69" s="32"/>
      <c r="S69" s="32"/>
      <c r="T69" s="53"/>
      <c r="U69" s="21" t="str">
        <f>IFERROR(VLOOKUP(May[[#This Row],[Drug Name2]],'Data Options'!$R$1:$S$100,2,FALSE), " ")</f>
        <v xml:space="preserve"> </v>
      </c>
      <c r="V69" s="32"/>
      <c r="W69" s="32"/>
      <c r="X69" s="53"/>
      <c r="Y69" s="21" t="str">
        <f>IFERROR(VLOOKUP(May[[#This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21" t="str">
        <f>IFERROR(VLOOKUP(May[[#This Row],[Drug Name4]],'Data Options'!$R$1:$S$100,2,FALSE), " ")</f>
        <v xml:space="preserve"> </v>
      </c>
      <c r="AI69" s="32"/>
      <c r="AJ69" s="32"/>
      <c r="AK69" s="53"/>
      <c r="AL69" s="21" t="str">
        <f>IFERROR(VLOOKUP(May[[#This Row],[Drug Name5]],'Data Options'!$R$1:$S$100,2,FALSE), " ")</f>
        <v xml:space="preserve"> </v>
      </c>
      <c r="AM69" s="32"/>
      <c r="AN69" s="32"/>
      <c r="AO69" s="53"/>
      <c r="AP69" s="21" t="str">
        <f>IFERROR(VLOOKUP(May[[#This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21" t="str">
        <f>IFERROR(VLOOKUP(May[[#This Row],[Drug Name7]],'Data Options'!$R$1:$S$100,2,FALSE), " ")</f>
        <v xml:space="preserve"> </v>
      </c>
      <c r="AZ69" s="32"/>
      <c r="BA69" s="32"/>
      <c r="BB69" s="53"/>
      <c r="BC69" s="21" t="str">
        <f>IFERROR(VLOOKUP(May[[#This Row],[Drug Name8]],'Data Options'!$R$1:$S$100,2,FALSE), " ")</f>
        <v xml:space="preserve"> </v>
      </c>
      <c r="BD69" s="32"/>
      <c r="BE69" s="32"/>
      <c r="BF69" s="53"/>
      <c r="BG69" s="21" t="str">
        <f>IFERROR(VLOOKUP(May[[#This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21" t="str">
        <f>IFERROR(VLOOKUP(May[[#This Row],[Drug Name]],'Data Options'!$R$1:$S$100,2,FALSE), " ")</f>
        <v xml:space="preserve"> </v>
      </c>
      <c r="R70" s="32"/>
      <c r="S70" s="32"/>
      <c r="T70" s="53"/>
      <c r="U70" s="21" t="str">
        <f>IFERROR(VLOOKUP(May[[#This Row],[Drug Name2]],'Data Options'!$R$1:$S$100,2,FALSE), " ")</f>
        <v xml:space="preserve"> </v>
      </c>
      <c r="V70" s="32"/>
      <c r="W70" s="32"/>
      <c r="X70" s="53"/>
      <c r="Y70" s="21" t="str">
        <f>IFERROR(VLOOKUP(May[[#This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21" t="str">
        <f>IFERROR(VLOOKUP(May[[#This Row],[Drug Name4]],'Data Options'!$R$1:$S$100,2,FALSE), " ")</f>
        <v xml:space="preserve"> </v>
      </c>
      <c r="AI70" s="32"/>
      <c r="AJ70" s="32"/>
      <c r="AK70" s="53"/>
      <c r="AL70" s="21" t="str">
        <f>IFERROR(VLOOKUP(May[[#This Row],[Drug Name5]],'Data Options'!$R$1:$S$100,2,FALSE), " ")</f>
        <v xml:space="preserve"> </v>
      </c>
      <c r="AM70" s="32"/>
      <c r="AN70" s="32"/>
      <c r="AO70" s="53"/>
      <c r="AP70" s="21" t="str">
        <f>IFERROR(VLOOKUP(May[[#This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21" t="str">
        <f>IFERROR(VLOOKUP(May[[#This Row],[Drug Name7]],'Data Options'!$R$1:$S$100,2,FALSE), " ")</f>
        <v xml:space="preserve"> </v>
      </c>
      <c r="AZ70" s="32"/>
      <c r="BA70" s="32"/>
      <c r="BB70" s="53"/>
      <c r="BC70" s="21" t="str">
        <f>IFERROR(VLOOKUP(May[[#This Row],[Drug Name8]],'Data Options'!$R$1:$S$100,2,FALSE), " ")</f>
        <v xml:space="preserve"> </v>
      </c>
      <c r="BD70" s="32"/>
      <c r="BE70" s="32"/>
      <c r="BF70" s="53"/>
      <c r="BG70" s="21" t="str">
        <f>IFERROR(VLOOKUP(May[[#This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21" t="str">
        <f>IFERROR(VLOOKUP(May[[#This Row],[Drug Name]],'Data Options'!$R$1:$S$100,2,FALSE), " ")</f>
        <v xml:space="preserve"> </v>
      </c>
      <c r="R71" s="32"/>
      <c r="S71" s="32"/>
      <c r="T71" s="53"/>
      <c r="U71" s="21" t="str">
        <f>IFERROR(VLOOKUP(May[[#This Row],[Drug Name2]],'Data Options'!$R$1:$S$100,2,FALSE), " ")</f>
        <v xml:space="preserve"> </v>
      </c>
      <c r="V71" s="32"/>
      <c r="W71" s="32"/>
      <c r="X71" s="53"/>
      <c r="Y71" s="21" t="str">
        <f>IFERROR(VLOOKUP(May[[#This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21" t="str">
        <f>IFERROR(VLOOKUP(May[[#This Row],[Drug Name4]],'Data Options'!$R$1:$S$100,2,FALSE), " ")</f>
        <v xml:space="preserve"> </v>
      </c>
      <c r="AI71" s="32"/>
      <c r="AJ71" s="32"/>
      <c r="AK71" s="53"/>
      <c r="AL71" s="21" t="str">
        <f>IFERROR(VLOOKUP(May[[#This Row],[Drug Name5]],'Data Options'!$R$1:$S$100,2,FALSE), " ")</f>
        <v xml:space="preserve"> </v>
      </c>
      <c r="AM71" s="32"/>
      <c r="AN71" s="32"/>
      <c r="AO71" s="53"/>
      <c r="AP71" s="21" t="str">
        <f>IFERROR(VLOOKUP(May[[#This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21" t="str">
        <f>IFERROR(VLOOKUP(May[[#This Row],[Drug Name7]],'Data Options'!$R$1:$S$100,2,FALSE), " ")</f>
        <v xml:space="preserve"> </v>
      </c>
      <c r="AZ71" s="32"/>
      <c r="BA71" s="32"/>
      <c r="BB71" s="53"/>
      <c r="BC71" s="21" t="str">
        <f>IFERROR(VLOOKUP(May[[#This Row],[Drug Name8]],'Data Options'!$R$1:$S$100,2,FALSE), " ")</f>
        <v xml:space="preserve"> </v>
      </c>
      <c r="BD71" s="32"/>
      <c r="BE71" s="32"/>
      <c r="BF71" s="53"/>
      <c r="BG71" s="21" t="str">
        <f>IFERROR(VLOOKUP(May[[#This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21" t="str">
        <f>IFERROR(VLOOKUP(May[[#This Row],[Drug Name]],'Data Options'!$R$1:$S$100,2,FALSE), " ")</f>
        <v xml:space="preserve"> </v>
      </c>
      <c r="R72" s="32"/>
      <c r="S72" s="32"/>
      <c r="T72" s="53"/>
      <c r="U72" s="21" t="str">
        <f>IFERROR(VLOOKUP(May[[#This Row],[Drug Name2]],'Data Options'!$R$1:$S$100,2,FALSE), " ")</f>
        <v xml:space="preserve"> </v>
      </c>
      <c r="V72" s="32"/>
      <c r="W72" s="32"/>
      <c r="X72" s="53"/>
      <c r="Y72" s="21" t="str">
        <f>IFERROR(VLOOKUP(May[[#This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21" t="str">
        <f>IFERROR(VLOOKUP(May[[#This Row],[Drug Name4]],'Data Options'!$R$1:$S$100,2,FALSE), " ")</f>
        <v xml:space="preserve"> </v>
      </c>
      <c r="AI72" s="32"/>
      <c r="AJ72" s="32"/>
      <c r="AK72" s="53"/>
      <c r="AL72" s="21" t="str">
        <f>IFERROR(VLOOKUP(May[[#This Row],[Drug Name5]],'Data Options'!$R$1:$S$100,2,FALSE), " ")</f>
        <v xml:space="preserve"> </v>
      </c>
      <c r="AM72" s="32"/>
      <c r="AN72" s="32"/>
      <c r="AO72" s="53"/>
      <c r="AP72" s="21" t="str">
        <f>IFERROR(VLOOKUP(May[[#This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21" t="str">
        <f>IFERROR(VLOOKUP(May[[#This Row],[Drug Name7]],'Data Options'!$R$1:$S$100,2,FALSE), " ")</f>
        <v xml:space="preserve"> </v>
      </c>
      <c r="AZ72" s="32"/>
      <c r="BA72" s="32"/>
      <c r="BB72" s="53"/>
      <c r="BC72" s="21" t="str">
        <f>IFERROR(VLOOKUP(May[[#This Row],[Drug Name8]],'Data Options'!$R$1:$S$100,2,FALSE), " ")</f>
        <v xml:space="preserve"> </v>
      </c>
      <c r="BD72" s="32"/>
      <c r="BE72" s="32"/>
      <c r="BF72" s="53"/>
      <c r="BG72" s="21" t="str">
        <f>IFERROR(VLOOKUP(May[[#This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21" t="str">
        <f>IFERROR(VLOOKUP(May[[#This Row],[Drug Name]],'Data Options'!$R$1:$S$100,2,FALSE), " ")</f>
        <v xml:space="preserve"> </v>
      </c>
      <c r="R73" s="32"/>
      <c r="S73" s="32"/>
      <c r="T73" s="53"/>
      <c r="U73" s="21" t="str">
        <f>IFERROR(VLOOKUP(May[[#This Row],[Drug Name2]],'Data Options'!$R$1:$S$100,2,FALSE), " ")</f>
        <v xml:space="preserve"> </v>
      </c>
      <c r="V73" s="32"/>
      <c r="W73" s="32"/>
      <c r="X73" s="53"/>
      <c r="Y73" s="21" t="str">
        <f>IFERROR(VLOOKUP(May[[#This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21" t="str">
        <f>IFERROR(VLOOKUP(May[[#This Row],[Drug Name4]],'Data Options'!$R$1:$S$100,2,FALSE), " ")</f>
        <v xml:space="preserve"> </v>
      </c>
      <c r="AI73" s="32"/>
      <c r="AJ73" s="32"/>
      <c r="AK73" s="53"/>
      <c r="AL73" s="21" t="str">
        <f>IFERROR(VLOOKUP(May[[#This Row],[Drug Name5]],'Data Options'!$R$1:$S$100,2,FALSE), " ")</f>
        <v xml:space="preserve"> </v>
      </c>
      <c r="AM73" s="32"/>
      <c r="AN73" s="32"/>
      <c r="AO73" s="53"/>
      <c r="AP73" s="21" t="str">
        <f>IFERROR(VLOOKUP(May[[#This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21" t="str">
        <f>IFERROR(VLOOKUP(May[[#This Row],[Drug Name7]],'Data Options'!$R$1:$S$100,2,FALSE), " ")</f>
        <v xml:space="preserve"> </v>
      </c>
      <c r="AZ73" s="32"/>
      <c r="BA73" s="32"/>
      <c r="BB73" s="53"/>
      <c r="BC73" s="21" t="str">
        <f>IFERROR(VLOOKUP(May[[#This Row],[Drug Name8]],'Data Options'!$R$1:$S$100,2,FALSE), " ")</f>
        <v xml:space="preserve"> </v>
      </c>
      <c r="BD73" s="32"/>
      <c r="BE73" s="32"/>
      <c r="BF73" s="53"/>
      <c r="BG73" s="21" t="str">
        <f>IFERROR(VLOOKUP(May[[#This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21" t="str">
        <f>IFERROR(VLOOKUP(May[[#This Row],[Drug Name]],'Data Options'!$R$1:$S$100,2,FALSE), " ")</f>
        <v xml:space="preserve"> </v>
      </c>
      <c r="R74" s="32"/>
      <c r="S74" s="32"/>
      <c r="T74" s="53"/>
      <c r="U74" s="21" t="str">
        <f>IFERROR(VLOOKUP(May[[#This Row],[Drug Name2]],'Data Options'!$R$1:$S$100,2,FALSE), " ")</f>
        <v xml:space="preserve"> </v>
      </c>
      <c r="V74" s="32"/>
      <c r="W74" s="32"/>
      <c r="X74" s="53"/>
      <c r="Y74" s="21" t="str">
        <f>IFERROR(VLOOKUP(May[[#This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21" t="str">
        <f>IFERROR(VLOOKUP(May[[#This Row],[Drug Name4]],'Data Options'!$R$1:$S$100,2,FALSE), " ")</f>
        <v xml:space="preserve"> </v>
      </c>
      <c r="AI74" s="32"/>
      <c r="AJ74" s="32"/>
      <c r="AK74" s="53"/>
      <c r="AL74" s="21" t="str">
        <f>IFERROR(VLOOKUP(May[[#This Row],[Drug Name5]],'Data Options'!$R$1:$S$100,2,FALSE), " ")</f>
        <v xml:space="preserve"> </v>
      </c>
      <c r="AM74" s="32"/>
      <c r="AN74" s="32"/>
      <c r="AO74" s="53"/>
      <c r="AP74" s="21" t="str">
        <f>IFERROR(VLOOKUP(May[[#This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21" t="str">
        <f>IFERROR(VLOOKUP(May[[#This Row],[Drug Name7]],'Data Options'!$R$1:$S$100,2,FALSE), " ")</f>
        <v xml:space="preserve"> </v>
      </c>
      <c r="AZ74" s="32"/>
      <c r="BA74" s="32"/>
      <c r="BB74" s="53"/>
      <c r="BC74" s="21" t="str">
        <f>IFERROR(VLOOKUP(May[[#This Row],[Drug Name8]],'Data Options'!$R$1:$S$100,2,FALSE), " ")</f>
        <v xml:space="preserve"> </v>
      </c>
      <c r="BD74" s="32"/>
      <c r="BE74" s="32"/>
      <c r="BF74" s="53"/>
      <c r="BG74" s="21" t="str">
        <f>IFERROR(VLOOKUP(May[[#This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21" t="str">
        <f>IFERROR(VLOOKUP(May[[#This Row],[Drug Name]],'Data Options'!$R$1:$S$100,2,FALSE), " ")</f>
        <v xml:space="preserve"> </v>
      </c>
      <c r="R75" s="32"/>
      <c r="S75" s="32"/>
      <c r="T75" s="53"/>
      <c r="U75" s="21" t="str">
        <f>IFERROR(VLOOKUP(May[[#This Row],[Drug Name2]],'Data Options'!$R$1:$S$100,2,FALSE), " ")</f>
        <v xml:space="preserve"> </v>
      </c>
      <c r="V75" s="32"/>
      <c r="W75" s="32"/>
      <c r="X75" s="53"/>
      <c r="Y75" s="21" t="str">
        <f>IFERROR(VLOOKUP(May[[#This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21" t="str">
        <f>IFERROR(VLOOKUP(May[[#This Row],[Drug Name4]],'Data Options'!$R$1:$S$100,2,FALSE), " ")</f>
        <v xml:space="preserve"> </v>
      </c>
      <c r="AI75" s="32"/>
      <c r="AJ75" s="32"/>
      <c r="AK75" s="53"/>
      <c r="AL75" s="21" t="str">
        <f>IFERROR(VLOOKUP(May[[#This Row],[Drug Name5]],'Data Options'!$R$1:$S$100,2,FALSE), " ")</f>
        <v xml:space="preserve"> </v>
      </c>
      <c r="AM75" s="32"/>
      <c r="AN75" s="32"/>
      <c r="AO75" s="53"/>
      <c r="AP75" s="21" t="str">
        <f>IFERROR(VLOOKUP(May[[#This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21" t="str">
        <f>IFERROR(VLOOKUP(May[[#This Row],[Drug Name7]],'Data Options'!$R$1:$S$100,2,FALSE), " ")</f>
        <v xml:space="preserve"> </v>
      </c>
      <c r="AZ75" s="32"/>
      <c r="BA75" s="32"/>
      <c r="BB75" s="53"/>
      <c r="BC75" s="21" t="str">
        <f>IFERROR(VLOOKUP(May[[#This Row],[Drug Name8]],'Data Options'!$R$1:$S$100,2,FALSE), " ")</f>
        <v xml:space="preserve"> </v>
      </c>
      <c r="BD75" s="32"/>
      <c r="BE75" s="32"/>
      <c r="BF75" s="53"/>
      <c r="BG75" s="21" t="str">
        <f>IFERROR(VLOOKUP(May[[#This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21" t="str">
        <f>IFERROR(VLOOKUP(May[[#This Row],[Drug Name]],'Data Options'!$R$1:$S$100,2,FALSE), " ")</f>
        <v xml:space="preserve"> </v>
      </c>
      <c r="R76" s="32"/>
      <c r="S76" s="32"/>
      <c r="T76" s="53"/>
      <c r="U76" s="21" t="str">
        <f>IFERROR(VLOOKUP(May[[#This Row],[Drug Name2]],'Data Options'!$R$1:$S$100,2,FALSE), " ")</f>
        <v xml:space="preserve"> </v>
      </c>
      <c r="V76" s="32"/>
      <c r="W76" s="32"/>
      <c r="X76" s="53"/>
      <c r="Y76" s="21" t="str">
        <f>IFERROR(VLOOKUP(May[[#This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21" t="str">
        <f>IFERROR(VLOOKUP(May[[#This Row],[Drug Name4]],'Data Options'!$R$1:$S$100,2,FALSE), " ")</f>
        <v xml:space="preserve"> </v>
      </c>
      <c r="AI76" s="32"/>
      <c r="AJ76" s="32"/>
      <c r="AK76" s="53"/>
      <c r="AL76" s="21" t="str">
        <f>IFERROR(VLOOKUP(May[[#This Row],[Drug Name5]],'Data Options'!$R$1:$S$100,2,FALSE), " ")</f>
        <v xml:space="preserve"> </v>
      </c>
      <c r="AM76" s="32"/>
      <c r="AN76" s="32"/>
      <c r="AO76" s="53"/>
      <c r="AP76" s="21" t="str">
        <f>IFERROR(VLOOKUP(May[[#This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21" t="str">
        <f>IFERROR(VLOOKUP(May[[#This Row],[Drug Name7]],'Data Options'!$R$1:$S$100,2,FALSE), " ")</f>
        <v xml:space="preserve"> </v>
      </c>
      <c r="AZ76" s="32"/>
      <c r="BA76" s="32"/>
      <c r="BB76" s="53"/>
      <c r="BC76" s="21" t="str">
        <f>IFERROR(VLOOKUP(May[[#This Row],[Drug Name8]],'Data Options'!$R$1:$S$100,2,FALSE), " ")</f>
        <v xml:space="preserve"> </v>
      </c>
      <c r="BD76" s="32"/>
      <c r="BE76" s="32"/>
      <c r="BF76" s="53"/>
      <c r="BG76" s="21" t="str">
        <f>IFERROR(VLOOKUP(May[[#This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21" t="str">
        <f>IFERROR(VLOOKUP(May[[#This Row],[Drug Name]],'Data Options'!$R$1:$S$100,2,FALSE), " ")</f>
        <v xml:space="preserve"> </v>
      </c>
      <c r="R77" s="32"/>
      <c r="S77" s="32"/>
      <c r="T77" s="53"/>
      <c r="U77" s="21" t="str">
        <f>IFERROR(VLOOKUP(May[[#This Row],[Drug Name2]],'Data Options'!$R$1:$S$100,2,FALSE), " ")</f>
        <v xml:space="preserve"> </v>
      </c>
      <c r="V77" s="32"/>
      <c r="W77" s="32"/>
      <c r="X77" s="53"/>
      <c r="Y77" s="21" t="str">
        <f>IFERROR(VLOOKUP(May[[#This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21" t="str">
        <f>IFERROR(VLOOKUP(May[[#This Row],[Drug Name4]],'Data Options'!$R$1:$S$100,2,FALSE), " ")</f>
        <v xml:space="preserve"> </v>
      </c>
      <c r="AI77" s="32"/>
      <c r="AJ77" s="32"/>
      <c r="AK77" s="53"/>
      <c r="AL77" s="21" t="str">
        <f>IFERROR(VLOOKUP(May[[#This Row],[Drug Name5]],'Data Options'!$R$1:$S$100,2,FALSE), " ")</f>
        <v xml:space="preserve"> </v>
      </c>
      <c r="AM77" s="32"/>
      <c r="AN77" s="32"/>
      <c r="AO77" s="53"/>
      <c r="AP77" s="21" t="str">
        <f>IFERROR(VLOOKUP(May[[#This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21" t="str">
        <f>IFERROR(VLOOKUP(May[[#This Row],[Drug Name7]],'Data Options'!$R$1:$S$100,2,FALSE), " ")</f>
        <v xml:space="preserve"> </v>
      </c>
      <c r="AZ77" s="32"/>
      <c r="BA77" s="32"/>
      <c r="BB77" s="53"/>
      <c r="BC77" s="21" t="str">
        <f>IFERROR(VLOOKUP(May[[#This Row],[Drug Name8]],'Data Options'!$R$1:$S$100,2,FALSE), " ")</f>
        <v xml:space="preserve"> </v>
      </c>
      <c r="BD77" s="32"/>
      <c r="BE77" s="32"/>
      <c r="BF77" s="53"/>
      <c r="BG77" s="21" t="str">
        <f>IFERROR(VLOOKUP(May[[#This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21" t="str">
        <f>IFERROR(VLOOKUP(May[[#This Row],[Drug Name]],'Data Options'!$R$1:$S$100,2,FALSE), " ")</f>
        <v xml:space="preserve"> </v>
      </c>
      <c r="R78" s="32"/>
      <c r="S78" s="32"/>
      <c r="T78" s="53"/>
      <c r="U78" s="21" t="str">
        <f>IFERROR(VLOOKUP(May[[#This Row],[Drug Name2]],'Data Options'!$R$1:$S$100,2,FALSE), " ")</f>
        <v xml:space="preserve"> </v>
      </c>
      <c r="V78" s="32"/>
      <c r="W78" s="32"/>
      <c r="X78" s="53"/>
      <c r="Y78" s="21" t="str">
        <f>IFERROR(VLOOKUP(May[[#This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21" t="str">
        <f>IFERROR(VLOOKUP(May[[#This Row],[Drug Name4]],'Data Options'!$R$1:$S$100,2,FALSE), " ")</f>
        <v xml:space="preserve"> </v>
      </c>
      <c r="AI78" s="32"/>
      <c r="AJ78" s="32"/>
      <c r="AK78" s="53"/>
      <c r="AL78" s="21" t="str">
        <f>IFERROR(VLOOKUP(May[[#This Row],[Drug Name5]],'Data Options'!$R$1:$S$100,2,FALSE), " ")</f>
        <v xml:space="preserve"> </v>
      </c>
      <c r="AM78" s="32"/>
      <c r="AN78" s="32"/>
      <c r="AO78" s="53"/>
      <c r="AP78" s="21" t="str">
        <f>IFERROR(VLOOKUP(May[[#This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21" t="str">
        <f>IFERROR(VLOOKUP(May[[#This Row],[Drug Name7]],'Data Options'!$R$1:$S$100,2,FALSE), " ")</f>
        <v xml:space="preserve"> </v>
      </c>
      <c r="AZ78" s="32"/>
      <c r="BA78" s="32"/>
      <c r="BB78" s="53"/>
      <c r="BC78" s="21" t="str">
        <f>IFERROR(VLOOKUP(May[[#This Row],[Drug Name8]],'Data Options'!$R$1:$S$100,2,FALSE), " ")</f>
        <v xml:space="preserve"> </v>
      </c>
      <c r="BD78" s="32"/>
      <c r="BE78" s="32"/>
      <c r="BF78" s="53"/>
      <c r="BG78" s="21" t="str">
        <f>IFERROR(VLOOKUP(May[[#This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21" t="str">
        <f>IFERROR(VLOOKUP(May[[#This Row],[Drug Name]],'Data Options'!$R$1:$S$100,2,FALSE), " ")</f>
        <v xml:space="preserve"> </v>
      </c>
      <c r="R79" s="32"/>
      <c r="S79" s="32"/>
      <c r="T79" s="53"/>
      <c r="U79" s="21" t="str">
        <f>IFERROR(VLOOKUP(May[[#This Row],[Drug Name2]],'Data Options'!$R$1:$S$100,2,FALSE), " ")</f>
        <v xml:space="preserve"> </v>
      </c>
      <c r="V79" s="32"/>
      <c r="W79" s="32"/>
      <c r="X79" s="53"/>
      <c r="Y79" s="21" t="str">
        <f>IFERROR(VLOOKUP(May[[#This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21" t="str">
        <f>IFERROR(VLOOKUP(May[[#This Row],[Drug Name4]],'Data Options'!$R$1:$S$100,2,FALSE), " ")</f>
        <v xml:space="preserve"> </v>
      </c>
      <c r="AI79" s="32"/>
      <c r="AJ79" s="32"/>
      <c r="AK79" s="53"/>
      <c r="AL79" s="21" t="str">
        <f>IFERROR(VLOOKUP(May[[#This Row],[Drug Name5]],'Data Options'!$R$1:$S$100,2,FALSE), " ")</f>
        <v xml:space="preserve"> </v>
      </c>
      <c r="AM79" s="32"/>
      <c r="AN79" s="32"/>
      <c r="AO79" s="53"/>
      <c r="AP79" s="21" t="str">
        <f>IFERROR(VLOOKUP(May[[#This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21" t="str">
        <f>IFERROR(VLOOKUP(May[[#This Row],[Drug Name7]],'Data Options'!$R$1:$S$100,2,FALSE), " ")</f>
        <v xml:space="preserve"> </v>
      </c>
      <c r="AZ79" s="32"/>
      <c r="BA79" s="32"/>
      <c r="BB79" s="53"/>
      <c r="BC79" s="21" t="str">
        <f>IFERROR(VLOOKUP(May[[#This Row],[Drug Name8]],'Data Options'!$R$1:$S$100,2,FALSE), " ")</f>
        <v xml:space="preserve"> </v>
      </c>
      <c r="BD79" s="32"/>
      <c r="BE79" s="32"/>
      <c r="BF79" s="53"/>
      <c r="BG79" s="21" t="str">
        <f>IFERROR(VLOOKUP(May[[#This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21" t="str">
        <f>IFERROR(VLOOKUP(May[[#This Row],[Drug Name]],'Data Options'!$R$1:$S$100,2,FALSE), " ")</f>
        <v xml:space="preserve"> </v>
      </c>
      <c r="R80" s="32"/>
      <c r="S80" s="32"/>
      <c r="T80" s="53"/>
      <c r="U80" s="21" t="str">
        <f>IFERROR(VLOOKUP(May[[#This Row],[Drug Name2]],'Data Options'!$R$1:$S$100,2,FALSE), " ")</f>
        <v xml:space="preserve"> </v>
      </c>
      <c r="V80" s="32"/>
      <c r="W80" s="32"/>
      <c r="X80" s="53"/>
      <c r="Y80" s="21" t="str">
        <f>IFERROR(VLOOKUP(May[[#This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21" t="str">
        <f>IFERROR(VLOOKUP(May[[#This Row],[Drug Name4]],'Data Options'!$R$1:$S$100,2,FALSE), " ")</f>
        <v xml:space="preserve"> </v>
      </c>
      <c r="AI80" s="32"/>
      <c r="AJ80" s="32"/>
      <c r="AK80" s="53"/>
      <c r="AL80" s="21" t="str">
        <f>IFERROR(VLOOKUP(May[[#This Row],[Drug Name5]],'Data Options'!$R$1:$S$100,2,FALSE), " ")</f>
        <v xml:space="preserve"> </v>
      </c>
      <c r="AM80" s="32"/>
      <c r="AN80" s="32"/>
      <c r="AO80" s="53"/>
      <c r="AP80" s="21" t="str">
        <f>IFERROR(VLOOKUP(May[[#This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21" t="str">
        <f>IFERROR(VLOOKUP(May[[#This Row],[Drug Name7]],'Data Options'!$R$1:$S$100,2,FALSE), " ")</f>
        <v xml:space="preserve"> </v>
      </c>
      <c r="AZ80" s="32"/>
      <c r="BA80" s="32"/>
      <c r="BB80" s="53"/>
      <c r="BC80" s="21" t="str">
        <f>IFERROR(VLOOKUP(May[[#This Row],[Drug Name8]],'Data Options'!$R$1:$S$100,2,FALSE), " ")</f>
        <v xml:space="preserve"> </v>
      </c>
      <c r="BD80" s="32"/>
      <c r="BE80" s="32"/>
      <c r="BF80" s="53"/>
      <c r="BG80" s="21" t="str">
        <f>IFERROR(VLOOKUP(May[[#This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21" t="str">
        <f>IFERROR(VLOOKUP(May[[#This Row],[Drug Name]],'Data Options'!$R$1:$S$100,2,FALSE), " ")</f>
        <v xml:space="preserve"> </v>
      </c>
      <c r="R81" s="32"/>
      <c r="S81" s="32"/>
      <c r="T81" s="53"/>
      <c r="U81" s="21" t="str">
        <f>IFERROR(VLOOKUP(May[[#This Row],[Drug Name2]],'Data Options'!$R$1:$S$100,2,FALSE), " ")</f>
        <v xml:space="preserve"> </v>
      </c>
      <c r="V81" s="32"/>
      <c r="W81" s="32"/>
      <c r="X81" s="53"/>
      <c r="Y81" s="21" t="str">
        <f>IFERROR(VLOOKUP(May[[#This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21" t="str">
        <f>IFERROR(VLOOKUP(May[[#This Row],[Drug Name4]],'Data Options'!$R$1:$S$100,2,FALSE), " ")</f>
        <v xml:space="preserve"> </v>
      </c>
      <c r="AI81" s="32"/>
      <c r="AJ81" s="32"/>
      <c r="AK81" s="53"/>
      <c r="AL81" s="21" t="str">
        <f>IFERROR(VLOOKUP(May[[#This Row],[Drug Name5]],'Data Options'!$R$1:$S$100,2,FALSE), " ")</f>
        <v xml:space="preserve"> </v>
      </c>
      <c r="AM81" s="32"/>
      <c r="AN81" s="32"/>
      <c r="AO81" s="53"/>
      <c r="AP81" s="21" t="str">
        <f>IFERROR(VLOOKUP(May[[#This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21" t="str">
        <f>IFERROR(VLOOKUP(May[[#This Row],[Drug Name7]],'Data Options'!$R$1:$S$100,2,FALSE), " ")</f>
        <v xml:space="preserve"> </v>
      </c>
      <c r="AZ81" s="32"/>
      <c r="BA81" s="32"/>
      <c r="BB81" s="53"/>
      <c r="BC81" s="21" t="str">
        <f>IFERROR(VLOOKUP(May[[#This Row],[Drug Name8]],'Data Options'!$R$1:$S$100,2,FALSE), " ")</f>
        <v xml:space="preserve"> </v>
      </c>
      <c r="BD81" s="32"/>
      <c r="BE81" s="32"/>
      <c r="BF81" s="53"/>
      <c r="BG81" s="21" t="str">
        <f>IFERROR(VLOOKUP(May[[#This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21" t="str">
        <f>IFERROR(VLOOKUP(May[[#This Row],[Drug Name]],'Data Options'!$R$1:$S$100,2,FALSE), " ")</f>
        <v xml:space="preserve"> </v>
      </c>
      <c r="R82" s="32"/>
      <c r="S82" s="32"/>
      <c r="T82" s="53"/>
      <c r="U82" s="21" t="str">
        <f>IFERROR(VLOOKUP(May[[#This Row],[Drug Name2]],'Data Options'!$R$1:$S$100,2,FALSE), " ")</f>
        <v xml:space="preserve"> </v>
      </c>
      <c r="V82" s="32"/>
      <c r="W82" s="32"/>
      <c r="X82" s="53"/>
      <c r="Y82" s="21" t="str">
        <f>IFERROR(VLOOKUP(May[[#This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21" t="str">
        <f>IFERROR(VLOOKUP(May[[#This Row],[Drug Name4]],'Data Options'!$R$1:$S$100,2,FALSE), " ")</f>
        <v xml:space="preserve"> </v>
      </c>
      <c r="AI82" s="32"/>
      <c r="AJ82" s="32"/>
      <c r="AK82" s="53"/>
      <c r="AL82" s="21" t="str">
        <f>IFERROR(VLOOKUP(May[[#This Row],[Drug Name5]],'Data Options'!$R$1:$S$100,2,FALSE), " ")</f>
        <v xml:space="preserve"> </v>
      </c>
      <c r="AM82" s="32"/>
      <c r="AN82" s="32"/>
      <c r="AO82" s="53"/>
      <c r="AP82" s="21" t="str">
        <f>IFERROR(VLOOKUP(May[[#This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21" t="str">
        <f>IFERROR(VLOOKUP(May[[#This Row],[Drug Name7]],'Data Options'!$R$1:$S$100,2,FALSE), " ")</f>
        <v xml:space="preserve"> </v>
      </c>
      <c r="AZ82" s="32"/>
      <c r="BA82" s="32"/>
      <c r="BB82" s="53"/>
      <c r="BC82" s="21" t="str">
        <f>IFERROR(VLOOKUP(May[[#This Row],[Drug Name8]],'Data Options'!$R$1:$S$100,2,FALSE), " ")</f>
        <v xml:space="preserve"> </v>
      </c>
      <c r="BD82" s="32"/>
      <c r="BE82" s="32"/>
      <c r="BF82" s="53"/>
      <c r="BG82" s="21" t="str">
        <f>IFERROR(VLOOKUP(May[[#This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21" t="str">
        <f>IFERROR(VLOOKUP(May[[#This Row],[Drug Name]],'Data Options'!$R$1:$S$100,2,FALSE), " ")</f>
        <v xml:space="preserve"> </v>
      </c>
      <c r="R83" s="32"/>
      <c r="S83" s="32"/>
      <c r="T83" s="53"/>
      <c r="U83" s="21" t="str">
        <f>IFERROR(VLOOKUP(May[[#This Row],[Drug Name2]],'Data Options'!$R$1:$S$100,2,FALSE), " ")</f>
        <v xml:space="preserve"> </v>
      </c>
      <c r="V83" s="32"/>
      <c r="W83" s="32"/>
      <c r="X83" s="53"/>
      <c r="Y83" s="21" t="str">
        <f>IFERROR(VLOOKUP(May[[#This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21" t="str">
        <f>IFERROR(VLOOKUP(May[[#This Row],[Drug Name4]],'Data Options'!$R$1:$S$100,2,FALSE), " ")</f>
        <v xml:space="preserve"> </v>
      </c>
      <c r="AI83" s="32"/>
      <c r="AJ83" s="32"/>
      <c r="AK83" s="53"/>
      <c r="AL83" s="21" t="str">
        <f>IFERROR(VLOOKUP(May[[#This Row],[Drug Name5]],'Data Options'!$R$1:$S$100,2,FALSE), " ")</f>
        <v xml:space="preserve"> </v>
      </c>
      <c r="AM83" s="32"/>
      <c r="AN83" s="32"/>
      <c r="AO83" s="53"/>
      <c r="AP83" s="21" t="str">
        <f>IFERROR(VLOOKUP(May[[#This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21" t="str">
        <f>IFERROR(VLOOKUP(May[[#This Row],[Drug Name7]],'Data Options'!$R$1:$S$100,2,FALSE), " ")</f>
        <v xml:space="preserve"> </v>
      </c>
      <c r="AZ83" s="32"/>
      <c r="BA83" s="32"/>
      <c r="BB83" s="53"/>
      <c r="BC83" s="21" t="str">
        <f>IFERROR(VLOOKUP(May[[#This Row],[Drug Name8]],'Data Options'!$R$1:$S$100,2,FALSE), " ")</f>
        <v xml:space="preserve"> </v>
      </c>
      <c r="BD83" s="32"/>
      <c r="BE83" s="32"/>
      <c r="BF83" s="53"/>
      <c r="BG83" s="21" t="str">
        <f>IFERROR(VLOOKUP(May[[#This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21" t="str">
        <f>IFERROR(VLOOKUP(May[[#This Row],[Drug Name]],'Data Options'!$R$1:$S$100,2,FALSE), " ")</f>
        <v xml:space="preserve"> </v>
      </c>
      <c r="R84" s="32"/>
      <c r="S84" s="32"/>
      <c r="T84" s="53"/>
      <c r="U84" s="21" t="str">
        <f>IFERROR(VLOOKUP(May[[#This Row],[Drug Name2]],'Data Options'!$R$1:$S$100,2,FALSE), " ")</f>
        <v xml:space="preserve"> </v>
      </c>
      <c r="V84" s="32"/>
      <c r="W84" s="32"/>
      <c r="X84" s="53"/>
      <c r="Y84" s="21" t="str">
        <f>IFERROR(VLOOKUP(May[[#This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21" t="str">
        <f>IFERROR(VLOOKUP(May[[#This Row],[Drug Name4]],'Data Options'!$R$1:$S$100,2,FALSE), " ")</f>
        <v xml:space="preserve"> </v>
      </c>
      <c r="AI84" s="32"/>
      <c r="AJ84" s="32"/>
      <c r="AK84" s="53"/>
      <c r="AL84" s="21" t="str">
        <f>IFERROR(VLOOKUP(May[[#This Row],[Drug Name5]],'Data Options'!$R$1:$S$100,2,FALSE), " ")</f>
        <v xml:space="preserve"> </v>
      </c>
      <c r="AM84" s="32"/>
      <c r="AN84" s="32"/>
      <c r="AO84" s="53"/>
      <c r="AP84" s="21" t="str">
        <f>IFERROR(VLOOKUP(May[[#This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21" t="str">
        <f>IFERROR(VLOOKUP(May[[#This Row],[Drug Name7]],'Data Options'!$R$1:$S$100,2,FALSE), " ")</f>
        <v xml:space="preserve"> </v>
      </c>
      <c r="AZ84" s="32"/>
      <c r="BA84" s="32"/>
      <c r="BB84" s="53"/>
      <c r="BC84" s="21" t="str">
        <f>IFERROR(VLOOKUP(May[[#This Row],[Drug Name8]],'Data Options'!$R$1:$S$100,2,FALSE), " ")</f>
        <v xml:space="preserve"> </v>
      </c>
      <c r="BD84" s="32"/>
      <c r="BE84" s="32"/>
      <c r="BF84" s="53"/>
      <c r="BG84" s="21" t="str">
        <f>IFERROR(VLOOKUP(May[[#This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21" t="str">
        <f>IFERROR(VLOOKUP(May[[#This Row],[Drug Name]],'Data Options'!$R$1:$S$100,2,FALSE), " ")</f>
        <v xml:space="preserve"> </v>
      </c>
      <c r="R85" s="32"/>
      <c r="S85" s="32"/>
      <c r="T85" s="53"/>
      <c r="U85" s="21" t="str">
        <f>IFERROR(VLOOKUP(May[[#This Row],[Drug Name2]],'Data Options'!$R$1:$S$100,2,FALSE), " ")</f>
        <v xml:space="preserve"> </v>
      </c>
      <c r="V85" s="32"/>
      <c r="W85" s="32"/>
      <c r="X85" s="53"/>
      <c r="Y85" s="21" t="str">
        <f>IFERROR(VLOOKUP(May[[#This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21" t="str">
        <f>IFERROR(VLOOKUP(May[[#This Row],[Drug Name4]],'Data Options'!$R$1:$S$100,2,FALSE), " ")</f>
        <v xml:space="preserve"> </v>
      </c>
      <c r="AI85" s="32"/>
      <c r="AJ85" s="32"/>
      <c r="AK85" s="53"/>
      <c r="AL85" s="21" t="str">
        <f>IFERROR(VLOOKUP(May[[#This Row],[Drug Name5]],'Data Options'!$R$1:$S$100,2,FALSE), " ")</f>
        <v xml:space="preserve"> </v>
      </c>
      <c r="AM85" s="32"/>
      <c r="AN85" s="32"/>
      <c r="AO85" s="53"/>
      <c r="AP85" s="21" t="str">
        <f>IFERROR(VLOOKUP(May[[#This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21" t="str">
        <f>IFERROR(VLOOKUP(May[[#This Row],[Drug Name7]],'Data Options'!$R$1:$S$100,2,FALSE), " ")</f>
        <v xml:space="preserve"> </v>
      </c>
      <c r="AZ85" s="32"/>
      <c r="BA85" s="32"/>
      <c r="BB85" s="53"/>
      <c r="BC85" s="21" t="str">
        <f>IFERROR(VLOOKUP(May[[#This Row],[Drug Name8]],'Data Options'!$R$1:$S$100,2,FALSE), " ")</f>
        <v xml:space="preserve"> </v>
      </c>
      <c r="BD85" s="32"/>
      <c r="BE85" s="32"/>
      <c r="BF85" s="53"/>
      <c r="BG85" s="21" t="str">
        <f>IFERROR(VLOOKUP(May[[#This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21" t="str">
        <f>IFERROR(VLOOKUP(May[[#This Row],[Drug Name]],'Data Options'!$R$1:$S$100,2,FALSE), " ")</f>
        <v xml:space="preserve"> </v>
      </c>
      <c r="R86" s="32"/>
      <c r="S86" s="32"/>
      <c r="T86" s="53"/>
      <c r="U86" s="21" t="str">
        <f>IFERROR(VLOOKUP(May[[#This Row],[Drug Name2]],'Data Options'!$R$1:$S$100,2,FALSE), " ")</f>
        <v xml:space="preserve"> </v>
      </c>
      <c r="V86" s="32"/>
      <c r="W86" s="32"/>
      <c r="X86" s="53"/>
      <c r="Y86" s="21" t="str">
        <f>IFERROR(VLOOKUP(May[[#This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21" t="str">
        <f>IFERROR(VLOOKUP(May[[#This Row],[Drug Name4]],'Data Options'!$R$1:$S$100,2,FALSE), " ")</f>
        <v xml:space="preserve"> </v>
      </c>
      <c r="AI86" s="32"/>
      <c r="AJ86" s="32"/>
      <c r="AK86" s="53"/>
      <c r="AL86" s="21" t="str">
        <f>IFERROR(VLOOKUP(May[[#This Row],[Drug Name5]],'Data Options'!$R$1:$S$100,2,FALSE), " ")</f>
        <v xml:space="preserve"> </v>
      </c>
      <c r="AM86" s="32"/>
      <c r="AN86" s="32"/>
      <c r="AO86" s="53"/>
      <c r="AP86" s="21" t="str">
        <f>IFERROR(VLOOKUP(May[[#This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21" t="str">
        <f>IFERROR(VLOOKUP(May[[#This Row],[Drug Name7]],'Data Options'!$R$1:$S$100,2,FALSE), " ")</f>
        <v xml:space="preserve"> </v>
      </c>
      <c r="AZ86" s="32"/>
      <c r="BA86" s="32"/>
      <c r="BB86" s="53"/>
      <c r="BC86" s="21" t="str">
        <f>IFERROR(VLOOKUP(May[[#This Row],[Drug Name8]],'Data Options'!$R$1:$S$100,2,FALSE), " ")</f>
        <v xml:space="preserve"> </v>
      </c>
      <c r="BD86" s="32"/>
      <c r="BE86" s="32"/>
      <c r="BF86" s="53"/>
      <c r="BG86" s="21" t="str">
        <f>IFERROR(VLOOKUP(May[[#This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21" t="str">
        <f>IFERROR(VLOOKUP(May[[#This Row],[Drug Name]],'Data Options'!$R$1:$S$100,2,FALSE), " ")</f>
        <v xml:space="preserve"> </v>
      </c>
      <c r="R87" s="32"/>
      <c r="S87" s="32"/>
      <c r="T87" s="53"/>
      <c r="U87" s="21" t="str">
        <f>IFERROR(VLOOKUP(May[[#This Row],[Drug Name2]],'Data Options'!$R$1:$S$100,2,FALSE), " ")</f>
        <v xml:space="preserve"> </v>
      </c>
      <c r="V87" s="32"/>
      <c r="W87" s="32"/>
      <c r="X87" s="53"/>
      <c r="Y87" s="21" t="str">
        <f>IFERROR(VLOOKUP(May[[#This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21" t="str">
        <f>IFERROR(VLOOKUP(May[[#This Row],[Drug Name4]],'Data Options'!$R$1:$S$100,2,FALSE), " ")</f>
        <v xml:space="preserve"> </v>
      </c>
      <c r="AI87" s="32"/>
      <c r="AJ87" s="32"/>
      <c r="AK87" s="53"/>
      <c r="AL87" s="21" t="str">
        <f>IFERROR(VLOOKUP(May[[#This Row],[Drug Name5]],'Data Options'!$R$1:$S$100,2,FALSE), " ")</f>
        <v xml:space="preserve"> </v>
      </c>
      <c r="AM87" s="32"/>
      <c r="AN87" s="32"/>
      <c r="AO87" s="53"/>
      <c r="AP87" s="21" t="str">
        <f>IFERROR(VLOOKUP(May[[#This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21" t="str">
        <f>IFERROR(VLOOKUP(May[[#This Row],[Drug Name7]],'Data Options'!$R$1:$S$100,2,FALSE), " ")</f>
        <v xml:space="preserve"> </v>
      </c>
      <c r="AZ87" s="32"/>
      <c r="BA87" s="32"/>
      <c r="BB87" s="53"/>
      <c r="BC87" s="21" t="str">
        <f>IFERROR(VLOOKUP(May[[#This Row],[Drug Name8]],'Data Options'!$R$1:$S$100,2,FALSE), " ")</f>
        <v xml:space="preserve"> </v>
      </c>
      <c r="BD87" s="32"/>
      <c r="BE87" s="32"/>
      <c r="BF87" s="53"/>
      <c r="BG87" s="21" t="str">
        <f>IFERROR(VLOOKUP(May[[#This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21" t="str">
        <f>IFERROR(VLOOKUP(May[[#This Row],[Drug Name]],'Data Options'!$R$1:$S$100,2,FALSE), " ")</f>
        <v xml:space="preserve"> </v>
      </c>
      <c r="R88" s="32"/>
      <c r="S88" s="32"/>
      <c r="T88" s="53"/>
      <c r="U88" s="21" t="str">
        <f>IFERROR(VLOOKUP(May[[#This Row],[Drug Name2]],'Data Options'!$R$1:$S$100,2,FALSE), " ")</f>
        <v xml:space="preserve"> </v>
      </c>
      <c r="V88" s="32"/>
      <c r="W88" s="32"/>
      <c r="X88" s="53"/>
      <c r="Y88" s="21" t="str">
        <f>IFERROR(VLOOKUP(May[[#This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21" t="str">
        <f>IFERROR(VLOOKUP(May[[#This Row],[Drug Name4]],'Data Options'!$R$1:$S$100,2,FALSE), " ")</f>
        <v xml:space="preserve"> </v>
      </c>
      <c r="AI88" s="32"/>
      <c r="AJ88" s="32"/>
      <c r="AK88" s="53"/>
      <c r="AL88" s="21" t="str">
        <f>IFERROR(VLOOKUP(May[[#This Row],[Drug Name5]],'Data Options'!$R$1:$S$100,2,FALSE), " ")</f>
        <v xml:space="preserve"> </v>
      </c>
      <c r="AM88" s="32"/>
      <c r="AN88" s="32"/>
      <c r="AO88" s="53"/>
      <c r="AP88" s="21" t="str">
        <f>IFERROR(VLOOKUP(May[[#This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21" t="str">
        <f>IFERROR(VLOOKUP(May[[#This Row],[Drug Name7]],'Data Options'!$R$1:$S$100,2,FALSE), " ")</f>
        <v xml:space="preserve"> </v>
      </c>
      <c r="AZ88" s="32"/>
      <c r="BA88" s="32"/>
      <c r="BB88" s="53"/>
      <c r="BC88" s="21" t="str">
        <f>IFERROR(VLOOKUP(May[[#This Row],[Drug Name8]],'Data Options'!$R$1:$S$100,2,FALSE), " ")</f>
        <v xml:space="preserve"> </v>
      </c>
      <c r="BD88" s="32"/>
      <c r="BE88" s="32"/>
      <c r="BF88" s="53"/>
      <c r="BG88" s="21" t="str">
        <f>IFERROR(VLOOKUP(May[[#This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21" t="str">
        <f>IFERROR(VLOOKUP(May[[#This Row],[Drug Name]],'Data Options'!$R$1:$S$100,2,FALSE), " ")</f>
        <v xml:space="preserve"> </v>
      </c>
      <c r="R89" s="32"/>
      <c r="S89" s="32"/>
      <c r="T89" s="53"/>
      <c r="U89" s="21" t="str">
        <f>IFERROR(VLOOKUP(May[[#This Row],[Drug Name2]],'Data Options'!$R$1:$S$100,2,FALSE), " ")</f>
        <v xml:space="preserve"> </v>
      </c>
      <c r="V89" s="32"/>
      <c r="W89" s="32"/>
      <c r="X89" s="53"/>
      <c r="Y89" s="21" t="str">
        <f>IFERROR(VLOOKUP(May[[#This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21" t="str">
        <f>IFERROR(VLOOKUP(May[[#This Row],[Drug Name4]],'Data Options'!$R$1:$S$100,2,FALSE), " ")</f>
        <v xml:space="preserve"> </v>
      </c>
      <c r="AI89" s="32"/>
      <c r="AJ89" s="32"/>
      <c r="AK89" s="53"/>
      <c r="AL89" s="21" t="str">
        <f>IFERROR(VLOOKUP(May[[#This Row],[Drug Name5]],'Data Options'!$R$1:$S$100,2,FALSE), " ")</f>
        <v xml:space="preserve"> </v>
      </c>
      <c r="AM89" s="32"/>
      <c r="AN89" s="32"/>
      <c r="AO89" s="53"/>
      <c r="AP89" s="21" t="str">
        <f>IFERROR(VLOOKUP(May[[#This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21" t="str">
        <f>IFERROR(VLOOKUP(May[[#This Row],[Drug Name7]],'Data Options'!$R$1:$S$100,2,FALSE), " ")</f>
        <v xml:space="preserve"> </v>
      </c>
      <c r="AZ89" s="32"/>
      <c r="BA89" s="32"/>
      <c r="BB89" s="53"/>
      <c r="BC89" s="21" t="str">
        <f>IFERROR(VLOOKUP(May[[#This Row],[Drug Name8]],'Data Options'!$R$1:$S$100,2,FALSE), " ")</f>
        <v xml:space="preserve"> </v>
      </c>
      <c r="BD89" s="32"/>
      <c r="BE89" s="32"/>
      <c r="BF89" s="53"/>
      <c r="BG89" s="21" t="str">
        <f>IFERROR(VLOOKUP(May[[#This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21" t="str">
        <f>IFERROR(VLOOKUP(May[[#This Row],[Drug Name]],'Data Options'!$R$1:$S$100,2,FALSE), " ")</f>
        <v xml:space="preserve"> </v>
      </c>
      <c r="R90" s="32"/>
      <c r="S90" s="32"/>
      <c r="T90" s="53"/>
      <c r="U90" s="21" t="str">
        <f>IFERROR(VLOOKUP(May[[#This Row],[Drug Name2]],'Data Options'!$R$1:$S$100,2,FALSE), " ")</f>
        <v xml:space="preserve"> </v>
      </c>
      <c r="V90" s="32"/>
      <c r="W90" s="32"/>
      <c r="X90" s="53"/>
      <c r="Y90" s="21" t="str">
        <f>IFERROR(VLOOKUP(May[[#This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21" t="str">
        <f>IFERROR(VLOOKUP(May[[#This Row],[Drug Name4]],'Data Options'!$R$1:$S$100,2,FALSE), " ")</f>
        <v xml:space="preserve"> </v>
      </c>
      <c r="AI90" s="32"/>
      <c r="AJ90" s="32"/>
      <c r="AK90" s="53"/>
      <c r="AL90" s="21" t="str">
        <f>IFERROR(VLOOKUP(May[[#This Row],[Drug Name5]],'Data Options'!$R$1:$S$100,2,FALSE), " ")</f>
        <v xml:space="preserve"> </v>
      </c>
      <c r="AM90" s="32"/>
      <c r="AN90" s="32"/>
      <c r="AO90" s="53"/>
      <c r="AP90" s="21" t="str">
        <f>IFERROR(VLOOKUP(May[[#This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21" t="str">
        <f>IFERROR(VLOOKUP(May[[#This Row],[Drug Name7]],'Data Options'!$R$1:$S$100,2,FALSE), " ")</f>
        <v xml:space="preserve"> </v>
      </c>
      <c r="AZ90" s="32"/>
      <c r="BA90" s="32"/>
      <c r="BB90" s="53"/>
      <c r="BC90" s="21" t="str">
        <f>IFERROR(VLOOKUP(May[[#This Row],[Drug Name8]],'Data Options'!$R$1:$S$100,2,FALSE), " ")</f>
        <v xml:space="preserve"> </v>
      </c>
      <c r="BD90" s="32"/>
      <c r="BE90" s="32"/>
      <c r="BF90" s="53"/>
      <c r="BG90" s="21" t="str">
        <f>IFERROR(VLOOKUP(May[[#This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21" t="str">
        <f>IFERROR(VLOOKUP(May[[#This Row],[Drug Name]],'Data Options'!$R$1:$S$100,2,FALSE), " ")</f>
        <v xml:space="preserve"> </v>
      </c>
      <c r="R91" s="32"/>
      <c r="S91" s="32"/>
      <c r="T91" s="53"/>
      <c r="U91" s="21" t="str">
        <f>IFERROR(VLOOKUP(May[[#This Row],[Drug Name2]],'Data Options'!$R$1:$S$100,2,FALSE), " ")</f>
        <v xml:space="preserve"> </v>
      </c>
      <c r="V91" s="32"/>
      <c r="W91" s="32"/>
      <c r="X91" s="53"/>
      <c r="Y91" s="21" t="str">
        <f>IFERROR(VLOOKUP(May[[#This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21" t="str">
        <f>IFERROR(VLOOKUP(May[[#This Row],[Drug Name4]],'Data Options'!$R$1:$S$100,2,FALSE), " ")</f>
        <v xml:space="preserve"> </v>
      </c>
      <c r="AI91" s="32"/>
      <c r="AJ91" s="32"/>
      <c r="AK91" s="53"/>
      <c r="AL91" s="21" t="str">
        <f>IFERROR(VLOOKUP(May[[#This Row],[Drug Name5]],'Data Options'!$R$1:$S$100,2,FALSE), " ")</f>
        <v xml:space="preserve"> </v>
      </c>
      <c r="AM91" s="32"/>
      <c r="AN91" s="32"/>
      <c r="AO91" s="53"/>
      <c r="AP91" s="21" t="str">
        <f>IFERROR(VLOOKUP(May[[#This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21" t="str">
        <f>IFERROR(VLOOKUP(May[[#This Row],[Drug Name7]],'Data Options'!$R$1:$S$100,2,FALSE), " ")</f>
        <v xml:space="preserve"> </v>
      </c>
      <c r="AZ91" s="32"/>
      <c r="BA91" s="32"/>
      <c r="BB91" s="53"/>
      <c r="BC91" s="21" t="str">
        <f>IFERROR(VLOOKUP(May[[#This Row],[Drug Name8]],'Data Options'!$R$1:$S$100,2,FALSE), " ")</f>
        <v xml:space="preserve"> </v>
      </c>
      <c r="BD91" s="32"/>
      <c r="BE91" s="32"/>
      <c r="BF91" s="53"/>
      <c r="BG91" s="21" t="str">
        <f>IFERROR(VLOOKUP(May[[#This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21" t="str">
        <f>IFERROR(VLOOKUP(May[[#This Row],[Drug Name]],'Data Options'!$R$1:$S$100,2,FALSE), " ")</f>
        <v xml:space="preserve"> </v>
      </c>
      <c r="R92" s="32"/>
      <c r="S92" s="32"/>
      <c r="T92" s="53"/>
      <c r="U92" s="21" t="str">
        <f>IFERROR(VLOOKUP(May[[#This Row],[Drug Name2]],'Data Options'!$R$1:$S$100,2,FALSE), " ")</f>
        <v xml:space="preserve"> </v>
      </c>
      <c r="V92" s="32"/>
      <c r="W92" s="32"/>
      <c r="X92" s="53"/>
      <c r="Y92" s="21" t="str">
        <f>IFERROR(VLOOKUP(May[[#This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21" t="str">
        <f>IFERROR(VLOOKUP(May[[#This Row],[Drug Name4]],'Data Options'!$R$1:$S$100,2,FALSE), " ")</f>
        <v xml:space="preserve"> </v>
      </c>
      <c r="AI92" s="32"/>
      <c r="AJ92" s="32"/>
      <c r="AK92" s="53"/>
      <c r="AL92" s="21" t="str">
        <f>IFERROR(VLOOKUP(May[[#This Row],[Drug Name5]],'Data Options'!$R$1:$S$100,2,FALSE), " ")</f>
        <v xml:space="preserve"> </v>
      </c>
      <c r="AM92" s="32"/>
      <c r="AN92" s="32"/>
      <c r="AO92" s="53"/>
      <c r="AP92" s="21" t="str">
        <f>IFERROR(VLOOKUP(May[[#This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21" t="str">
        <f>IFERROR(VLOOKUP(May[[#This Row],[Drug Name7]],'Data Options'!$R$1:$S$100,2,FALSE), " ")</f>
        <v xml:space="preserve"> </v>
      </c>
      <c r="AZ92" s="32"/>
      <c r="BA92" s="32"/>
      <c r="BB92" s="53"/>
      <c r="BC92" s="21" t="str">
        <f>IFERROR(VLOOKUP(May[[#This Row],[Drug Name8]],'Data Options'!$R$1:$S$100,2,FALSE), " ")</f>
        <v xml:space="preserve"> </v>
      </c>
      <c r="BD92" s="32"/>
      <c r="BE92" s="32"/>
      <c r="BF92" s="53"/>
      <c r="BG92" s="21" t="str">
        <f>IFERROR(VLOOKUP(May[[#This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21" t="str">
        <f>IFERROR(VLOOKUP(May[[#This Row],[Drug Name]],'Data Options'!$R$1:$S$100,2,FALSE), " ")</f>
        <v xml:space="preserve"> </v>
      </c>
      <c r="R93" s="32"/>
      <c r="S93" s="32"/>
      <c r="T93" s="53"/>
      <c r="U93" s="21" t="str">
        <f>IFERROR(VLOOKUP(May[[#This Row],[Drug Name2]],'Data Options'!$R$1:$S$100,2,FALSE), " ")</f>
        <v xml:space="preserve"> </v>
      </c>
      <c r="V93" s="32"/>
      <c r="W93" s="32"/>
      <c r="X93" s="53"/>
      <c r="Y93" s="21" t="str">
        <f>IFERROR(VLOOKUP(May[[#This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21" t="str">
        <f>IFERROR(VLOOKUP(May[[#This Row],[Drug Name4]],'Data Options'!$R$1:$S$100,2,FALSE), " ")</f>
        <v xml:space="preserve"> </v>
      </c>
      <c r="AI93" s="32"/>
      <c r="AJ93" s="32"/>
      <c r="AK93" s="53"/>
      <c r="AL93" s="21" t="str">
        <f>IFERROR(VLOOKUP(May[[#This Row],[Drug Name5]],'Data Options'!$R$1:$S$100,2,FALSE), " ")</f>
        <v xml:space="preserve"> </v>
      </c>
      <c r="AM93" s="32"/>
      <c r="AN93" s="32"/>
      <c r="AO93" s="53"/>
      <c r="AP93" s="21" t="str">
        <f>IFERROR(VLOOKUP(May[[#This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21" t="str">
        <f>IFERROR(VLOOKUP(May[[#This Row],[Drug Name7]],'Data Options'!$R$1:$S$100,2,FALSE), " ")</f>
        <v xml:space="preserve"> </v>
      </c>
      <c r="AZ93" s="32"/>
      <c r="BA93" s="32"/>
      <c r="BB93" s="53"/>
      <c r="BC93" s="21" t="str">
        <f>IFERROR(VLOOKUP(May[[#This Row],[Drug Name8]],'Data Options'!$R$1:$S$100,2,FALSE), " ")</f>
        <v xml:space="preserve"> </v>
      </c>
      <c r="BD93" s="32"/>
      <c r="BE93" s="32"/>
      <c r="BF93" s="53"/>
      <c r="BG93" s="21" t="str">
        <f>IFERROR(VLOOKUP(May[[#This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21" t="str">
        <f>IFERROR(VLOOKUP(May[[#This Row],[Drug Name]],'Data Options'!$R$1:$S$100,2,FALSE), " ")</f>
        <v xml:space="preserve"> </v>
      </c>
      <c r="R94" s="32"/>
      <c r="S94" s="32"/>
      <c r="T94" s="53"/>
      <c r="U94" s="21" t="str">
        <f>IFERROR(VLOOKUP(May[[#This Row],[Drug Name2]],'Data Options'!$R$1:$S$100,2,FALSE), " ")</f>
        <v xml:space="preserve"> </v>
      </c>
      <c r="V94" s="32"/>
      <c r="W94" s="32"/>
      <c r="X94" s="53"/>
      <c r="Y94" s="21" t="str">
        <f>IFERROR(VLOOKUP(May[[#This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21" t="str">
        <f>IFERROR(VLOOKUP(May[[#This Row],[Drug Name4]],'Data Options'!$R$1:$S$100,2,FALSE), " ")</f>
        <v xml:space="preserve"> </v>
      </c>
      <c r="AI94" s="32"/>
      <c r="AJ94" s="32"/>
      <c r="AK94" s="53"/>
      <c r="AL94" s="21" t="str">
        <f>IFERROR(VLOOKUP(May[[#This Row],[Drug Name5]],'Data Options'!$R$1:$S$100,2,FALSE), " ")</f>
        <v xml:space="preserve"> </v>
      </c>
      <c r="AM94" s="32"/>
      <c r="AN94" s="32"/>
      <c r="AO94" s="53"/>
      <c r="AP94" s="21" t="str">
        <f>IFERROR(VLOOKUP(May[[#This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21" t="str">
        <f>IFERROR(VLOOKUP(May[[#This Row],[Drug Name7]],'Data Options'!$R$1:$S$100,2,FALSE), " ")</f>
        <v xml:space="preserve"> </v>
      </c>
      <c r="AZ94" s="32"/>
      <c r="BA94" s="32"/>
      <c r="BB94" s="53"/>
      <c r="BC94" s="21" t="str">
        <f>IFERROR(VLOOKUP(May[[#This Row],[Drug Name8]],'Data Options'!$R$1:$S$100,2,FALSE), " ")</f>
        <v xml:space="preserve"> </v>
      </c>
      <c r="BD94" s="32"/>
      <c r="BE94" s="32"/>
      <c r="BF94" s="53"/>
      <c r="BG94" s="21" t="str">
        <f>IFERROR(VLOOKUP(May[[#This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21" t="str">
        <f>IFERROR(VLOOKUP(May[[#This Row],[Drug Name]],'Data Options'!$R$1:$S$100,2,FALSE), " ")</f>
        <v xml:space="preserve"> </v>
      </c>
      <c r="R95" s="32"/>
      <c r="S95" s="32"/>
      <c r="T95" s="53"/>
      <c r="U95" s="21" t="str">
        <f>IFERROR(VLOOKUP(May[[#This Row],[Drug Name2]],'Data Options'!$R$1:$S$100,2,FALSE), " ")</f>
        <v xml:space="preserve"> </v>
      </c>
      <c r="V95" s="32"/>
      <c r="W95" s="32"/>
      <c r="X95" s="53"/>
      <c r="Y95" s="21" t="str">
        <f>IFERROR(VLOOKUP(May[[#This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21" t="str">
        <f>IFERROR(VLOOKUP(May[[#This Row],[Drug Name4]],'Data Options'!$R$1:$S$100,2,FALSE), " ")</f>
        <v xml:space="preserve"> </v>
      </c>
      <c r="AI95" s="32"/>
      <c r="AJ95" s="32"/>
      <c r="AK95" s="53"/>
      <c r="AL95" s="21" t="str">
        <f>IFERROR(VLOOKUP(May[[#This Row],[Drug Name5]],'Data Options'!$R$1:$S$100,2,FALSE), " ")</f>
        <v xml:space="preserve"> </v>
      </c>
      <c r="AM95" s="32"/>
      <c r="AN95" s="32"/>
      <c r="AO95" s="53"/>
      <c r="AP95" s="21" t="str">
        <f>IFERROR(VLOOKUP(May[[#This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21" t="str">
        <f>IFERROR(VLOOKUP(May[[#This Row],[Drug Name7]],'Data Options'!$R$1:$S$100,2,FALSE), " ")</f>
        <v xml:space="preserve"> </v>
      </c>
      <c r="AZ95" s="32"/>
      <c r="BA95" s="32"/>
      <c r="BB95" s="53"/>
      <c r="BC95" s="21" t="str">
        <f>IFERROR(VLOOKUP(May[[#This Row],[Drug Name8]],'Data Options'!$R$1:$S$100,2,FALSE), " ")</f>
        <v xml:space="preserve"> </v>
      </c>
      <c r="BD95" s="32"/>
      <c r="BE95" s="32"/>
      <c r="BF95" s="53"/>
      <c r="BG95" s="21" t="str">
        <f>IFERROR(VLOOKUP(May[[#This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21" t="str">
        <f>IFERROR(VLOOKUP(May[[#This Row],[Drug Name]],'Data Options'!$R$1:$S$100,2,FALSE), " ")</f>
        <v xml:space="preserve"> </v>
      </c>
      <c r="R96" s="32"/>
      <c r="S96" s="32"/>
      <c r="T96" s="53"/>
      <c r="U96" s="21" t="str">
        <f>IFERROR(VLOOKUP(May[[#This Row],[Drug Name2]],'Data Options'!$R$1:$S$100,2,FALSE), " ")</f>
        <v xml:space="preserve"> </v>
      </c>
      <c r="V96" s="32"/>
      <c r="W96" s="32"/>
      <c r="X96" s="53"/>
      <c r="Y96" s="21" t="str">
        <f>IFERROR(VLOOKUP(May[[#This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21" t="str">
        <f>IFERROR(VLOOKUP(May[[#This Row],[Drug Name4]],'Data Options'!$R$1:$S$100,2,FALSE), " ")</f>
        <v xml:space="preserve"> </v>
      </c>
      <c r="AI96" s="32"/>
      <c r="AJ96" s="32"/>
      <c r="AK96" s="53"/>
      <c r="AL96" s="21" t="str">
        <f>IFERROR(VLOOKUP(May[[#This Row],[Drug Name5]],'Data Options'!$R$1:$S$100,2,FALSE), " ")</f>
        <v xml:space="preserve"> </v>
      </c>
      <c r="AM96" s="32"/>
      <c r="AN96" s="32"/>
      <c r="AO96" s="53"/>
      <c r="AP96" s="21" t="str">
        <f>IFERROR(VLOOKUP(May[[#This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21" t="str">
        <f>IFERROR(VLOOKUP(May[[#This Row],[Drug Name7]],'Data Options'!$R$1:$S$100,2,FALSE), " ")</f>
        <v xml:space="preserve"> </v>
      </c>
      <c r="AZ96" s="32"/>
      <c r="BA96" s="32"/>
      <c r="BB96" s="53"/>
      <c r="BC96" s="21" t="str">
        <f>IFERROR(VLOOKUP(May[[#This Row],[Drug Name8]],'Data Options'!$R$1:$S$100,2,FALSE), " ")</f>
        <v xml:space="preserve"> </v>
      </c>
      <c r="BD96" s="32"/>
      <c r="BE96" s="32"/>
      <c r="BF96" s="53"/>
      <c r="BG96" s="21" t="str">
        <f>IFERROR(VLOOKUP(May[[#This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21" t="str">
        <f>IFERROR(VLOOKUP(May[[#This Row],[Drug Name]],'Data Options'!$R$1:$S$100,2,FALSE), " ")</f>
        <v xml:space="preserve"> </v>
      </c>
      <c r="R97" s="32"/>
      <c r="S97" s="32"/>
      <c r="T97" s="53"/>
      <c r="U97" s="21" t="str">
        <f>IFERROR(VLOOKUP(May[[#This Row],[Drug Name2]],'Data Options'!$R$1:$S$100,2,FALSE), " ")</f>
        <v xml:space="preserve"> </v>
      </c>
      <c r="V97" s="32"/>
      <c r="W97" s="32"/>
      <c r="X97" s="53"/>
      <c r="Y97" s="21" t="str">
        <f>IFERROR(VLOOKUP(May[[#This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21" t="str">
        <f>IFERROR(VLOOKUP(May[[#This Row],[Drug Name4]],'Data Options'!$R$1:$S$100,2,FALSE), " ")</f>
        <v xml:space="preserve"> </v>
      </c>
      <c r="AI97" s="32"/>
      <c r="AJ97" s="32"/>
      <c r="AK97" s="53"/>
      <c r="AL97" s="21" t="str">
        <f>IFERROR(VLOOKUP(May[[#This Row],[Drug Name5]],'Data Options'!$R$1:$S$100,2,FALSE), " ")</f>
        <v xml:space="preserve"> </v>
      </c>
      <c r="AM97" s="32"/>
      <c r="AN97" s="32"/>
      <c r="AO97" s="53"/>
      <c r="AP97" s="21" t="str">
        <f>IFERROR(VLOOKUP(May[[#This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21" t="str">
        <f>IFERROR(VLOOKUP(May[[#This Row],[Drug Name7]],'Data Options'!$R$1:$S$100,2,FALSE), " ")</f>
        <v xml:space="preserve"> </v>
      </c>
      <c r="AZ97" s="32"/>
      <c r="BA97" s="32"/>
      <c r="BB97" s="53"/>
      <c r="BC97" s="21" t="str">
        <f>IFERROR(VLOOKUP(May[[#This Row],[Drug Name8]],'Data Options'!$R$1:$S$100,2,FALSE), " ")</f>
        <v xml:space="preserve"> </v>
      </c>
      <c r="BD97" s="32"/>
      <c r="BE97" s="32"/>
      <c r="BF97" s="53"/>
      <c r="BG97" s="21" t="str">
        <f>IFERROR(VLOOKUP(May[[#This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21" t="str">
        <f>IFERROR(VLOOKUP(May[[#This Row],[Drug Name]],'Data Options'!$R$1:$S$100,2,FALSE), " ")</f>
        <v xml:space="preserve"> </v>
      </c>
      <c r="R98" s="32"/>
      <c r="S98" s="32"/>
      <c r="T98" s="53"/>
      <c r="U98" s="21" t="str">
        <f>IFERROR(VLOOKUP(May[[#This Row],[Drug Name2]],'Data Options'!$R$1:$S$100,2,FALSE), " ")</f>
        <v xml:space="preserve"> </v>
      </c>
      <c r="V98" s="32"/>
      <c r="W98" s="32"/>
      <c r="X98" s="53"/>
      <c r="Y98" s="21" t="str">
        <f>IFERROR(VLOOKUP(May[[#This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21" t="str">
        <f>IFERROR(VLOOKUP(May[[#This Row],[Drug Name4]],'Data Options'!$R$1:$S$100,2,FALSE), " ")</f>
        <v xml:space="preserve"> </v>
      </c>
      <c r="AI98" s="32"/>
      <c r="AJ98" s="32"/>
      <c r="AK98" s="53"/>
      <c r="AL98" s="21" t="str">
        <f>IFERROR(VLOOKUP(May[[#This Row],[Drug Name5]],'Data Options'!$R$1:$S$100,2,FALSE), " ")</f>
        <v xml:space="preserve"> </v>
      </c>
      <c r="AM98" s="32"/>
      <c r="AN98" s="32"/>
      <c r="AO98" s="53"/>
      <c r="AP98" s="21" t="str">
        <f>IFERROR(VLOOKUP(May[[#This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21" t="str">
        <f>IFERROR(VLOOKUP(May[[#This Row],[Drug Name7]],'Data Options'!$R$1:$S$100,2,FALSE), " ")</f>
        <v xml:space="preserve"> </v>
      </c>
      <c r="AZ98" s="32"/>
      <c r="BA98" s="32"/>
      <c r="BB98" s="53"/>
      <c r="BC98" s="21" t="str">
        <f>IFERROR(VLOOKUP(May[[#This Row],[Drug Name8]],'Data Options'!$R$1:$S$100,2,FALSE), " ")</f>
        <v xml:space="preserve"> </v>
      </c>
      <c r="BD98" s="32"/>
      <c r="BE98" s="32"/>
      <c r="BF98" s="53"/>
      <c r="BG98" s="21" t="str">
        <f>IFERROR(VLOOKUP(May[[#This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21" t="str">
        <f>IFERROR(VLOOKUP(May[[#This Row],[Drug Name]],'Data Options'!$R$1:$S$100,2,FALSE), " ")</f>
        <v xml:space="preserve"> </v>
      </c>
      <c r="R99" s="32"/>
      <c r="S99" s="32"/>
      <c r="T99" s="53"/>
      <c r="U99" s="21" t="str">
        <f>IFERROR(VLOOKUP(May[[#This Row],[Drug Name2]],'Data Options'!$R$1:$S$100,2,FALSE), " ")</f>
        <v xml:space="preserve"> </v>
      </c>
      <c r="V99" s="32"/>
      <c r="W99" s="32"/>
      <c r="X99" s="53"/>
      <c r="Y99" s="21" t="str">
        <f>IFERROR(VLOOKUP(May[[#This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21" t="str">
        <f>IFERROR(VLOOKUP(May[[#This Row],[Drug Name4]],'Data Options'!$R$1:$S$100,2,FALSE), " ")</f>
        <v xml:space="preserve"> </v>
      </c>
      <c r="AI99" s="32"/>
      <c r="AJ99" s="32"/>
      <c r="AK99" s="53"/>
      <c r="AL99" s="21" t="str">
        <f>IFERROR(VLOOKUP(May[[#This Row],[Drug Name5]],'Data Options'!$R$1:$S$100,2,FALSE), " ")</f>
        <v xml:space="preserve"> </v>
      </c>
      <c r="AM99" s="32"/>
      <c r="AN99" s="32"/>
      <c r="AO99" s="53"/>
      <c r="AP99" s="21" t="str">
        <f>IFERROR(VLOOKUP(May[[#This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21" t="str">
        <f>IFERROR(VLOOKUP(May[[#This Row],[Drug Name7]],'Data Options'!$R$1:$S$100,2,FALSE), " ")</f>
        <v xml:space="preserve"> </v>
      </c>
      <c r="AZ99" s="32"/>
      <c r="BA99" s="32"/>
      <c r="BB99" s="53"/>
      <c r="BC99" s="21" t="str">
        <f>IFERROR(VLOOKUP(May[[#This Row],[Drug Name8]],'Data Options'!$R$1:$S$100,2,FALSE), " ")</f>
        <v xml:space="preserve"> </v>
      </c>
      <c r="BD99" s="32"/>
      <c r="BE99" s="32"/>
      <c r="BF99" s="53"/>
      <c r="BG99" s="21" t="str">
        <f>IFERROR(VLOOKUP(May[[#This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21" t="str">
        <f>IFERROR(VLOOKUP(May[[#This Row],[Drug Name]],'Data Options'!$R$1:$S$100,2,FALSE), " ")</f>
        <v xml:space="preserve"> </v>
      </c>
      <c r="R100" s="32"/>
      <c r="S100" s="32"/>
      <c r="T100" s="53"/>
      <c r="U100" s="21" t="str">
        <f>IFERROR(VLOOKUP(May[[#This Row],[Drug Name2]],'Data Options'!$R$1:$S$100,2,FALSE), " ")</f>
        <v xml:space="preserve"> </v>
      </c>
      <c r="V100" s="32"/>
      <c r="W100" s="32"/>
      <c r="X100" s="53"/>
      <c r="Y100" s="21" t="str">
        <f>IFERROR(VLOOKUP(May[[#This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21" t="str">
        <f>IFERROR(VLOOKUP(May[[#This Row],[Drug Name4]],'Data Options'!$R$1:$S$100,2,FALSE), " ")</f>
        <v xml:space="preserve"> </v>
      </c>
      <c r="AI100" s="32"/>
      <c r="AJ100" s="32"/>
      <c r="AK100" s="53"/>
      <c r="AL100" s="21" t="str">
        <f>IFERROR(VLOOKUP(May[[#This Row],[Drug Name5]],'Data Options'!$R$1:$S$100,2,FALSE), " ")</f>
        <v xml:space="preserve"> </v>
      </c>
      <c r="AM100" s="32"/>
      <c r="AN100" s="32"/>
      <c r="AO100" s="53"/>
      <c r="AP100" s="21" t="str">
        <f>IFERROR(VLOOKUP(May[[#This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21" t="str">
        <f>IFERROR(VLOOKUP(May[[#This Row],[Drug Name7]],'Data Options'!$R$1:$S$100,2,FALSE), " ")</f>
        <v xml:space="preserve"> </v>
      </c>
      <c r="AZ100" s="32"/>
      <c r="BA100" s="32"/>
      <c r="BB100" s="53"/>
      <c r="BC100" s="21" t="str">
        <f>IFERROR(VLOOKUP(May[[#This Row],[Drug Name8]],'Data Options'!$R$1:$S$100,2,FALSE), " ")</f>
        <v xml:space="preserve"> </v>
      </c>
      <c r="BD100" s="32"/>
      <c r="BE100" s="32"/>
      <c r="BF100" s="53"/>
      <c r="BG100" s="21" t="str">
        <f>IFERROR(VLOOKUP(May[[#This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21" t="str">
        <f>IFERROR(VLOOKUP(May[[#This Row],[Drug Name]],'Data Options'!$R$1:$S$100,2,FALSE), " ")</f>
        <v xml:space="preserve"> </v>
      </c>
      <c r="R101" s="32"/>
      <c r="S101" s="32"/>
      <c r="T101" s="53"/>
      <c r="U101" s="21" t="str">
        <f>IFERROR(VLOOKUP(May[[#This Row],[Drug Name2]],'Data Options'!$R$1:$S$100,2,FALSE), " ")</f>
        <v xml:space="preserve"> </v>
      </c>
      <c r="V101" s="32"/>
      <c r="W101" s="32"/>
      <c r="X101" s="53"/>
      <c r="Y101" s="21" t="str">
        <f>IFERROR(VLOOKUP(May[[#This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21" t="str">
        <f>IFERROR(VLOOKUP(May[[#This Row],[Drug Name4]],'Data Options'!$R$1:$S$100,2,FALSE), " ")</f>
        <v xml:space="preserve"> </v>
      </c>
      <c r="AI101" s="32"/>
      <c r="AJ101" s="32"/>
      <c r="AK101" s="53"/>
      <c r="AL101" s="21" t="str">
        <f>IFERROR(VLOOKUP(May[[#This Row],[Drug Name5]],'Data Options'!$R$1:$S$100,2,FALSE), " ")</f>
        <v xml:space="preserve"> </v>
      </c>
      <c r="AM101" s="32"/>
      <c r="AN101" s="32"/>
      <c r="AO101" s="53"/>
      <c r="AP101" s="21" t="str">
        <f>IFERROR(VLOOKUP(May[[#This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21" t="str">
        <f>IFERROR(VLOOKUP(May[[#This Row],[Drug Name7]],'Data Options'!$R$1:$S$100,2,FALSE), " ")</f>
        <v xml:space="preserve"> </v>
      </c>
      <c r="AZ101" s="32"/>
      <c r="BA101" s="32"/>
      <c r="BB101" s="53"/>
      <c r="BC101" s="21" t="str">
        <f>IFERROR(VLOOKUP(May[[#This Row],[Drug Name8]],'Data Options'!$R$1:$S$100,2,FALSE), " ")</f>
        <v xml:space="preserve"> </v>
      </c>
      <c r="BD101" s="32"/>
      <c r="BE101" s="32"/>
      <c r="BF101" s="53"/>
      <c r="BG101" s="21" t="str">
        <f>IFERROR(VLOOKUP(May[[#This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21" t="str">
        <f>IFERROR(VLOOKUP(May[[#This Row],[Drug Name]],'Data Options'!$R$1:$S$100,2,FALSE), " ")</f>
        <v xml:space="preserve"> </v>
      </c>
      <c r="R102" s="32"/>
      <c r="S102" s="32"/>
      <c r="T102" s="53"/>
      <c r="U102" s="21" t="str">
        <f>IFERROR(VLOOKUP(May[[#This Row],[Drug Name2]],'Data Options'!$R$1:$S$100,2,FALSE), " ")</f>
        <v xml:space="preserve"> </v>
      </c>
      <c r="V102" s="32"/>
      <c r="W102" s="32"/>
      <c r="X102" s="53"/>
      <c r="Y102" s="21" t="str">
        <f>IFERROR(VLOOKUP(May[[#This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21" t="str">
        <f>IFERROR(VLOOKUP(May[[#This Row],[Drug Name4]],'Data Options'!$R$1:$S$100,2,FALSE), " ")</f>
        <v xml:space="preserve"> </v>
      </c>
      <c r="AI102" s="32"/>
      <c r="AJ102" s="32"/>
      <c r="AK102" s="53"/>
      <c r="AL102" s="21" t="str">
        <f>IFERROR(VLOOKUP(May[[#This Row],[Drug Name5]],'Data Options'!$R$1:$S$100,2,FALSE), " ")</f>
        <v xml:space="preserve"> </v>
      </c>
      <c r="AM102" s="32"/>
      <c r="AN102" s="32"/>
      <c r="AO102" s="53"/>
      <c r="AP102" s="21" t="str">
        <f>IFERROR(VLOOKUP(May[[#This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21" t="str">
        <f>IFERROR(VLOOKUP(May[[#This Row],[Drug Name7]],'Data Options'!$R$1:$S$100,2,FALSE), " ")</f>
        <v xml:space="preserve"> </v>
      </c>
      <c r="AZ102" s="32"/>
      <c r="BA102" s="32"/>
      <c r="BB102" s="53"/>
      <c r="BC102" s="21" t="str">
        <f>IFERROR(VLOOKUP(May[[#This Row],[Drug Name8]],'Data Options'!$R$1:$S$100,2,FALSE), " ")</f>
        <v xml:space="preserve"> </v>
      </c>
      <c r="BD102" s="32"/>
      <c r="BE102" s="32"/>
      <c r="BF102" s="53"/>
      <c r="BG102" s="21" t="str">
        <f>IFERROR(VLOOKUP(May[[#This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21" t="str">
        <f>IFERROR(VLOOKUP(May[[#This Row],[Drug Name]],'Data Options'!$R$1:$S$100,2,FALSE), " ")</f>
        <v xml:space="preserve"> </v>
      </c>
      <c r="R103" s="32"/>
      <c r="S103" s="32"/>
      <c r="T103" s="53"/>
      <c r="U103" s="21" t="str">
        <f>IFERROR(VLOOKUP(May[[#This Row],[Drug Name2]],'Data Options'!$R$1:$S$100,2,FALSE), " ")</f>
        <v xml:space="preserve"> </v>
      </c>
      <c r="V103" s="32"/>
      <c r="W103" s="32"/>
      <c r="X103" s="53"/>
      <c r="Y103" s="21" t="str">
        <f>IFERROR(VLOOKUP(May[[#This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21" t="str">
        <f>IFERROR(VLOOKUP(May[[#This Row],[Drug Name4]],'Data Options'!$R$1:$S$100,2,FALSE), " ")</f>
        <v xml:space="preserve"> </v>
      </c>
      <c r="AI103" s="32"/>
      <c r="AJ103" s="32"/>
      <c r="AK103" s="53"/>
      <c r="AL103" s="21" t="str">
        <f>IFERROR(VLOOKUP(May[[#This Row],[Drug Name5]],'Data Options'!$R$1:$S$100,2,FALSE), " ")</f>
        <v xml:space="preserve"> </v>
      </c>
      <c r="AM103" s="32"/>
      <c r="AN103" s="32"/>
      <c r="AO103" s="53"/>
      <c r="AP103" s="21" t="str">
        <f>IFERROR(VLOOKUP(May[[#This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21" t="str">
        <f>IFERROR(VLOOKUP(May[[#This Row],[Drug Name7]],'Data Options'!$R$1:$S$100,2,FALSE), " ")</f>
        <v xml:space="preserve"> </v>
      </c>
      <c r="AZ103" s="32"/>
      <c r="BA103" s="32"/>
      <c r="BB103" s="53"/>
      <c r="BC103" s="21" t="str">
        <f>IFERROR(VLOOKUP(May[[#This Row],[Drug Name8]],'Data Options'!$R$1:$S$100,2,FALSE), " ")</f>
        <v xml:space="preserve"> </v>
      </c>
      <c r="BD103" s="32"/>
      <c r="BE103" s="32"/>
      <c r="BF103" s="53"/>
      <c r="BG103" s="21" t="str">
        <f>IFERROR(VLOOKUP(May[[#This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21" t="str">
        <f>IFERROR(VLOOKUP(May[[#This Row],[Drug Name]],'Data Options'!$R$1:$S$100,2,FALSE), " ")</f>
        <v xml:space="preserve"> </v>
      </c>
      <c r="R104" s="32"/>
      <c r="S104" s="32"/>
      <c r="T104" s="53"/>
      <c r="U104" s="21" t="str">
        <f>IFERROR(VLOOKUP(May[[#This Row],[Drug Name2]],'Data Options'!$R$1:$S$100,2,FALSE), " ")</f>
        <v xml:space="preserve"> </v>
      </c>
      <c r="V104" s="32"/>
      <c r="W104" s="32"/>
      <c r="X104" s="53"/>
      <c r="Y104" s="21" t="str">
        <f>IFERROR(VLOOKUP(May[[#This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21" t="str">
        <f>IFERROR(VLOOKUP(May[[#This Row],[Drug Name4]],'Data Options'!$R$1:$S$100,2,FALSE), " ")</f>
        <v xml:space="preserve"> </v>
      </c>
      <c r="AI104" s="32"/>
      <c r="AJ104" s="32"/>
      <c r="AK104" s="53"/>
      <c r="AL104" s="21" t="str">
        <f>IFERROR(VLOOKUP(May[[#This Row],[Drug Name5]],'Data Options'!$R$1:$S$100,2,FALSE), " ")</f>
        <v xml:space="preserve"> </v>
      </c>
      <c r="AM104" s="32"/>
      <c r="AN104" s="32"/>
      <c r="AO104" s="53"/>
      <c r="AP104" s="21" t="str">
        <f>IFERROR(VLOOKUP(May[[#This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21" t="str">
        <f>IFERROR(VLOOKUP(May[[#This Row],[Drug Name7]],'Data Options'!$R$1:$S$100,2,FALSE), " ")</f>
        <v xml:space="preserve"> </v>
      </c>
      <c r="AZ104" s="32"/>
      <c r="BA104" s="32"/>
      <c r="BB104" s="53"/>
      <c r="BC104" s="21" t="str">
        <f>IFERROR(VLOOKUP(May[[#This Row],[Drug Name8]],'Data Options'!$R$1:$S$100,2,FALSE), " ")</f>
        <v xml:space="preserve"> </v>
      </c>
      <c r="BD104" s="32"/>
      <c r="BE104" s="32"/>
      <c r="BF104" s="53"/>
      <c r="BG104" s="21" t="str">
        <f>IFERROR(VLOOKUP(May[[#This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21" t="str">
        <f>IFERROR(VLOOKUP(May[[#This Row],[Drug Name]],'Data Options'!$R$1:$S$100,2,FALSE), " ")</f>
        <v xml:space="preserve"> </v>
      </c>
      <c r="R105" s="32"/>
      <c r="S105" s="32"/>
      <c r="T105" s="53"/>
      <c r="U105" s="21" t="str">
        <f>IFERROR(VLOOKUP(May[[#This Row],[Drug Name2]],'Data Options'!$R$1:$S$100,2,FALSE), " ")</f>
        <v xml:space="preserve"> </v>
      </c>
      <c r="V105" s="32"/>
      <c r="W105" s="32"/>
      <c r="X105" s="53"/>
      <c r="Y105" s="21" t="str">
        <f>IFERROR(VLOOKUP(May[[#This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21" t="str">
        <f>IFERROR(VLOOKUP(May[[#This Row],[Drug Name4]],'Data Options'!$R$1:$S$100,2,FALSE), " ")</f>
        <v xml:space="preserve"> </v>
      </c>
      <c r="AI105" s="32"/>
      <c r="AJ105" s="32"/>
      <c r="AK105" s="53"/>
      <c r="AL105" s="21" t="str">
        <f>IFERROR(VLOOKUP(May[[#This Row],[Drug Name5]],'Data Options'!$R$1:$S$100,2,FALSE), " ")</f>
        <v xml:space="preserve"> </v>
      </c>
      <c r="AM105" s="32"/>
      <c r="AN105" s="32"/>
      <c r="AO105" s="53"/>
      <c r="AP105" s="21" t="str">
        <f>IFERROR(VLOOKUP(May[[#This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21" t="str">
        <f>IFERROR(VLOOKUP(May[[#This Row],[Drug Name7]],'Data Options'!$R$1:$S$100,2,FALSE), " ")</f>
        <v xml:space="preserve"> </v>
      </c>
      <c r="AZ105" s="32"/>
      <c r="BA105" s="32"/>
      <c r="BB105" s="53"/>
      <c r="BC105" s="21" t="str">
        <f>IFERROR(VLOOKUP(May[[#This Row],[Drug Name8]],'Data Options'!$R$1:$S$100,2,FALSE), " ")</f>
        <v xml:space="preserve"> </v>
      </c>
      <c r="BD105" s="32"/>
      <c r="BE105" s="32"/>
      <c r="BF105" s="53"/>
      <c r="BG105" s="21" t="str">
        <f>IFERROR(VLOOKUP(May[[#This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21" t="str">
        <f>IFERROR(VLOOKUP(May[[#This Row],[Drug Name]],'Data Options'!$R$1:$S$100,2,FALSE), " ")</f>
        <v xml:space="preserve"> </v>
      </c>
      <c r="R106" s="32"/>
      <c r="S106" s="32"/>
      <c r="T106" s="53"/>
      <c r="U106" s="21" t="str">
        <f>IFERROR(VLOOKUP(May[[#This Row],[Drug Name2]],'Data Options'!$R$1:$S$100,2,FALSE), " ")</f>
        <v xml:space="preserve"> </v>
      </c>
      <c r="V106" s="32"/>
      <c r="W106" s="32"/>
      <c r="X106" s="53"/>
      <c r="Y106" s="21" t="str">
        <f>IFERROR(VLOOKUP(May[[#This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21" t="str">
        <f>IFERROR(VLOOKUP(May[[#This Row],[Drug Name4]],'Data Options'!$R$1:$S$100,2,FALSE), " ")</f>
        <v xml:space="preserve"> </v>
      </c>
      <c r="AI106" s="32"/>
      <c r="AJ106" s="32"/>
      <c r="AK106" s="53"/>
      <c r="AL106" s="21" t="str">
        <f>IFERROR(VLOOKUP(May[[#This Row],[Drug Name5]],'Data Options'!$R$1:$S$100,2,FALSE), " ")</f>
        <v xml:space="preserve"> </v>
      </c>
      <c r="AM106" s="32"/>
      <c r="AN106" s="32"/>
      <c r="AO106" s="53"/>
      <c r="AP106" s="21" t="str">
        <f>IFERROR(VLOOKUP(May[[#This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21" t="str">
        <f>IFERROR(VLOOKUP(May[[#This Row],[Drug Name7]],'Data Options'!$R$1:$S$100,2,FALSE), " ")</f>
        <v xml:space="preserve"> </v>
      </c>
      <c r="AZ106" s="32"/>
      <c r="BA106" s="32"/>
      <c r="BB106" s="53"/>
      <c r="BC106" s="21" t="str">
        <f>IFERROR(VLOOKUP(May[[#This Row],[Drug Name8]],'Data Options'!$R$1:$S$100,2,FALSE), " ")</f>
        <v xml:space="preserve"> </v>
      </c>
      <c r="BD106" s="32"/>
      <c r="BE106" s="32"/>
      <c r="BF106" s="53"/>
      <c r="BG106" s="21" t="str">
        <f>IFERROR(VLOOKUP(May[[#This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21" t="str">
        <f>IFERROR(VLOOKUP(May[[#This Row],[Drug Name]],'Data Options'!$R$1:$S$100,2,FALSE), " ")</f>
        <v xml:space="preserve"> </v>
      </c>
      <c r="R107" s="32"/>
      <c r="S107" s="32"/>
      <c r="T107" s="53"/>
      <c r="U107" s="21" t="str">
        <f>IFERROR(VLOOKUP(May[[#This Row],[Drug Name2]],'Data Options'!$R$1:$S$100,2,FALSE), " ")</f>
        <v xml:space="preserve"> </v>
      </c>
      <c r="V107" s="32"/>
      <c r="W107" s="32"/>
      <c r="X107" s="53"/>
      <c r="Y107" s="21" t="str">
        <f>IFERROR(VLOOKUP(May[[#This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21" t="str">
        <f>IFERROR(VLOOKUP(May[[#This Row],[Drug Name4]],'Data Options'!$R$1:$S$100,2,FALSE), " ")</f>
        <v xml:space="preserve"> </v>
      </c>
      <c r="AI107" s="32"/>
      <c r="AJ107" s="32"/>
      <c r="AK107" s="53"/>
      <c r="AL107" s="21" t="str">
        <f>IFERROR(VLOOKUP(May[[#This Row],[Drug Name5]],'Data Options'!$R$1:$S$100,2,FALSE), " ")</f>
        <v xml:space="preserve"> </v>
      </c>
      <c r="AM107" s="32"/>
      <c r="AN107" s="32"/>
      <c r="AO107" s="53"/>
      <c r="AP107" s="21" t="str">
        <f>IFERROR(VLOOKUP(May[[#This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21" t="str">
        <f>IFERROR(VLOOKUP(May[[#This Row],[Drug Name7]],'Data Options'!$R$1:$S$100,2,FALSE), " ")</f>
        <v xml:space="preserve"> </v>
      </c>
      <c r="AZ107" s="32"/>
      <c r="BA107" s="32"/>
      <c r="BB107" s="53"/>
      <c r="BC107" s="21" t="str">
        <f>IFERROR(VLOOKUP(May[[#This Row],[Drug Name8]],'Data Options'!$R$1:$S$100,2,FALSE), " ")</f>
        <v xml:space="preserve"> </v>
      </c>
      <c r="BD107" s="32"/>
      <c r="BE107" s="32"/>
      <c r="BF107" s="53"/>
      <c r="BG107" s="21" t="str">
        <f>IFERROR(VLOOKUP(May[[#This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21" t="str">
        <f>IFERROR(VLOOKUP(May[[#This Row],[Drug Name]],'Data Options'!$R$1:$S$100,2,FALSE), " ")</f>
        <v xml:space="preserve"> </v>
      </c>
      <c r="R108" s="32"/>
      <c r="S108" s="32"/>
      <c r="T108" s="53"/>
      <c r="U108" s="21" t="str">
        <f>IFERROR(VLOOKUP(May[[#This Row],[Drug Name2]],'Data Options'!$R$1:$S$100,2,FALSE), " ")</f>
        <v xml:space="preserve"> </v>
      </c>
      <c r="V108" s="32"/>
      <c r="W108" s="32"/>
      <c r="X108" s="53"/>
      <c r="Y108" s="21" t="str">
        <f>IFERROR(VLOOKUP(May[[#This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21" t="str">
        <f>IFERROR(VLOOKUP(May[[#This Row],[Drug Name4]],'Data Options'!$R$1:$S$100,2,FALSE), " ")</f>
        <v xml:space="preserve"> </v>
      </c>
      <c r="AI108" s="32"/>
      <c r="AJ108" s="32"/>
      <c r="AK108" s="53"/>
      <c r="AL108" s="21" t="str">
        <f>IFERROR(VLOOKUP(May[[#This Row],[Drug Name5]],'Data Options'!$R$1:$S$100,2,FALSE), " ")</f>
        <v xml:space="preserve"> </v>
      </c>
      <c r="AM108" s="32"/>
      <c r="AN108" s="32"/>
      <c r="AO108" s="53"/>
      <c r="AP108" s="21" t="str">
        <f>IFERROR(VLOOKUP(May[[#This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21" t="str">
        <f>IFERROR(VLOOKUP(May[[#This Row],[Drug Name7]],'Data Options'!$R$1:$S$100,2,FALSE), " ")</f>
        <v xml:space="preserve"> </v>
      </c>
      <c r="AZ108" s="32"/>
      <c r="BA108" s="32"/>
      <c r="BB108" s="53"/>
      <c r="BC108" s="21" t="str">
        <f>IFERROR(VLOOKUP(May[[#This Row],[Drug Name8]],'Data Options'!$R$1:$S$100,2,FALSE), " ")</f>
        <v xml:space="preserve"> </v>
      </c>
      <c r="BD108" s="32"/>
      <c r="BE108" s="32"/>
      <c r="BF108" s="53"/>
      <c r="BG108" s="21" t="str">
        <f>IFERROR(VLOOKUP(May[[#This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21" t="str">
        <f>IFERROR(VLOOKUP(May[[#This Row],[Drug Name]],'Data Options'!$R$1:$S$100,2,FALSE), " ")</f>
        <v xml:space="preserve"> </v>
      </c>
      <c r="R109" s="32"/>
      <c r="S109" s="32"/>
      <c r="T109" s="53"/>
      <c r="U109" s="21" t="str">
        <f>IFERROR(VLOOKUP(May[[#This Row],[Drug Name2]],'Data Options'!$R$1:$S$100,2,FALSE), " ")</f>
        <v xml:space="preserve"> </v>
      </c>
      <c r="V109" s="32"/>
      <c r="W109" s="32"/>
      <c r="X109" s="53"/>
      <c r="Y109" s="21" t="str">
        <f>IFERROR(VLOOKUP(May[[#This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21" t="str">
        <f>IFERROR(VLOOKUP(May[[#This Row],[Drug Name4]],'Data Options'!$R$1:$S$100,2,FALSE), " ")</f>
        <v xml:space="preserve"> </v>
      </c>
      <c r="AI109" s="32"/>
      <c r="AJ109" s="32"/>
      <c r="AK109" s="53"/>
      <c r="AL109" s="21" t="str">
        <f>IFERROR(VLOOKUP(May[[#This Row],[Drug Name5]],'Data Options'!$R$1:$S$100,2,FALSE), " ")</f>
        <v xml:space="preserve"> </v>
      </c>
      <c r="AM109" s="32"/>
      <c r="AN109" s="32"/>
      <c r="AO109" s="53"/>
      <c r="AP109" s="21" t="str">
        <f>IFERROR(VLOOKUP(May[[#This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21" t="str">
        <f>IFERROR(VLOOKUP(May[[#This Row],[Drug Name7]],'Data Options'!$R$1:$S$100,2,FALSE), " ")</f>
        <v xml:space="preserve"> </v>
      </c>
      <c r="AZ109" s="32"/>
      <c r="BA109" s="32"/>
      <c r="BB109" s="53"/>
      <c r="BC109" s="21" t="str">
        <f>IFERROR(VLOOKUP(May[[#This Row],[Drug Name8]],'Data Options'!$R$1:$S$100,2,FALSE), " ")</f>
        <v xml:space="preserve"> </v>
      </c>
      <c r="BD109" s="32"/>
      <c r="BE109" s="32"/>
      <c r="BF109" s="53"/>
      <c r="BG109" s="21" t="str">
        <f>IFERROR(VLOOKUP(May[[#This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21" t="str">
        <f>IFERROR(VLOOKUP(May[[#This Row],[Drug Name]],'Data Options'!$R$1:$S$100,2,FALSE), " ")</f>
        <v xml:space="preserve"> </v>
      </c>
      <c r="R110" s="32"/>
      <c r="S110" s="32"/>
      <c r="T110" s="53"/>
      <c r="U110" s="21" t="str">
        <f>IFERROR(VLOOKUP(May[[#This Row],[Drug Name2]],'Data Options'!$R$1:$S$100,2,FALSE), " ")</f>
        <v xml:space="preserve"> </v>
      </c>
      <c r="V110" s="32"/>
      <c r="W110" s="32"/>
      <c r="X110" s="53"/>
      <c r="Y110" s="21" t="str">
        <f>IFERROR(VLOOKUP(May[[#This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21" t="str">
        <f>IFERROR(VLOOKUP(May[[#This Row],[Drug Name4]],'Data Options'!$R$1:$S$100,2,FALSE), " ")</f>
        <v xml:space="preserve"> </v>
      </c>
      <c r="AI110" s="32"/>
      <c r="AJ110" s="32"/>
      <c r="AK110" s="53"/>
      <c r="AL110" s="21" t="str">
        <f>IFERROR(VLOOKUP(May[[#This Row],[Drug Name5]],'Data Options'!$R$1:$S$100,2,FALSE), " ")</f>
        <v xml:space="preserve"> </v>
      </c>
      <c r="AM110" s="32"/>
      <c r="AN110" s="32"/>
      <c r="AO110" s="53"/>
      <c r="AP110" s="21" t="str">
        <f>IFERROR(VLOOKUP(May[[#This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21" t="str">
        <f>IFERROR(VLOOKUP(May[[#This Row],[Drug Name7]],'Data Options'!$R$1:$S$100,2,FALSE), " ")</f>
        <v xml:space="preserve"> </v>
      </c>
      <c r="AZ110" s="32"/>
      <c r="BA110" s="32"/>
      <c r="BB110" s="53"/>
      <c r="BC110" s="21" t="str">
        <f>IFERROR(VLOOKUP(May[[#This Row],[Drug Name8]],'Data Options'!$R$1:$S$100,2,FALSE), " ")</f>
        <v xml:space="preserve"> </v>
      </c>
      <c r="BD110" s="32"/>
      <c r="BE110" s="32"/>
      <c r="BF110" s="53"/>
      <c r="BG110" s="21" t="str">
        <f>IFERROR(VLOOKUP(May[[#This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21" t="str">
        <f>IFERROR(VLOOKUP(May[[#This Row],[Drug Name]],'Data Options'!$R$1:$S$100,2,FALSE), " ")</f>
        <v xml:space="preserve"> </v>
      </c>
      <c r="R111" s="32"/>
      <c r="S111" s="32"/>
      <c r="T111" s="53"/>
      <c r="U111" s="21" t="str">
        <f>IFERROR(VLOOKUP(May[[#This Row],[Drug Name2]],'Data Options'!$R$1:$S$100,2,FALSE), " ")</f>
        <v xml:space="preserve"> </v>
      </c>
      <c r="V111" s="32"/>
      <c r="W111" s="32"/>
      <c r="X111" s="53"/>
      <c r="Y111" s="21" t="str">
        <f>IFERROR(VLOOKUP(May[[#This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21" t="str">
        <f>IFERROR(VLOOKUP(May[[#This Row],[Drug Name4]],'Data Options'!$R$1:$S$100,2,FALSE), " ")</f>
        <v xml:space="preserve"> </v>
      </c>
      <c r="AI111" s="32"/>
      <c r="AJ111" s="32"/>
      <c r="AK111" s="53"/>
      <c r="AL111" s="21" t="str">
        <f>IFERROR(VLOOKUP(May[[#This Row],[Drug Name5]],'Data Options'!$R$1:$S$100,2,FALSE), " ")</f>
        <v xml:space="preserve"> </v>
      </c>
      <c r="AM111" s="32"/>
      <c r="AN111" s="32"/>
      <c r="AO111" s="53"/>
      <c r="AP111" s="21" t="str">
        <f>IFERROR(VLOOKUP(May[[#This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21" t="str">
        <f>IFERROR(VLOOKUP(May[[#This Row],[Drug Name7]],'Data Options'!$R$1:$S$100,2,FALSE), " ")</f>
        <v xml:space="preserve"> </v>
      </c>
      <c r="AZ111" s="32"/>
      <c r="BA111" s="32"/>
      <c r="BB111" s="53"/>
      <c r="BC111" s="21" t="str">
        <f>IFERROR(VLOOKUP(May[[#This Row],[Drug Name8]],'Data Options'!$R$1:$S$100,2,FALSE), " ")</f>
        <v xml:space="preserve"> </v>
      </c>
      <c r="BD111" s="32"/>
      <c r="BE111" s="32"/>
      <c r="BF111" s="53"/>
      <c r="BG111" s="21" t="str">
        <f>IFERROR(VLOOKUP(May[[#This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21" t="str">
        <f>IFERROR(VLOOKUP(May[[#This Row],[Drug Name]],'Data Options'!$R$1:$S$100,2,FALSE), " ")</f>
        <v xml:space="preserve"> </v>
      </c>
      <c r="R112" s="32"/>
      <c r="S112" s="32"/>
      <c r="T112" s="53"/>
      <c r="U112" s="21" t="str">
        <f>IFERROR(VLOOKUP(May[[#This Row],[Drug Name2]],'Data Options'!$R$1:$S$100,2,FALSE), " ")</f>
        <v xml:space="preserve"> </v>
      </c>
      <c r="V112" s="32"/>
      <c r="W112" s="32"/>
      <c r="X112" s="53"/>
      <c r="Y112" s="21" t="str">
        <f>IFERROR(VLOOKUP(May[[#This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21" t="str">
        <f>IFERROR(VLOOKUP(May[[#This Row],[Drug Name4]],'Data Options'!$R$1:$S$100,2,FALSE), " ")</f>
        <v xml:space="preserve"> </v>
      </c>
      <c r="AI112" s="32"/>
      <c r="AJ112" s="32"/>
      <c r="AK112" s="53"/>
      <c r="AL112" s="21" t="str">
        <f>IFERROR(VLOOKUP(May[[#This Row],[Drug Name5]],'Data Options'!$R$1:$S$100,2,FALSE), " ")</f>
        <v xml:space="preserve"> </v>
      </c>
      <c r="AM112" s="32"/>
      <c r="AN112" s="32"/>
      <c r="AO112" s="53"/>
      <c r="AP112" s="21" t="str">
        <f>IFERROR(VLOOKUP(May[[#This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21" t="str">
        <f>IFERROR(VLOOKUP(May[[#This Row],[Drug Name7]],'Data Options'!$R$1:$S$100,2,FALSE), " ")</f>
        <v xml:space="preserve"> </v>
      </c>
      <c r="AZ112" s="32"/>
      <c r="BA112" s="32"/>
      <c r="BB112" s="53"/>
      <c r="BC112" s="21" t="str">
        <f>IFERROR(VLOOKUP(May[[#This Row],[Drug Name8]],'Data Options'!$R$1:$S$100,2,FALSE), " ")</f>
        <v xml:space="preserve"> </v>
      </c>
      <c r="BD112" s="32"/>
      <c r="BE112" s="32"/>
      <c r="BF112" s="53"/>
      <c r="BG112" s="21" t="str">
        <f>IFERROR(VLOOKUP(May[[#This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21" t="str">
        <f>IFERROR(VLOOKUP(May[[#This Row],[Drug Name]],'Data Options'!$R$1:$S$100,2,FALSE), " ")</f>
        <v xml:space="preserve"> </v>
      </c>
      <c r="R113" s="32"/>
      <c r="S113" s="32"/>
      <c r="T113" s="53"/>
      <c r="U113" s="21" t="str">
        <f>IFERROR(VLOOKUP(May[[#This Row],[Drug Name2]],'Data Options'!$R$1:$S$100,2,FALSE), " ")</f>
        <v xml:space="preserve"> </v>
      </c>
      <c r="V113" s="32"/>
      <c r="W113" s="32"/>
      <c r="X113" s="53"/>
      <c r="Y113" s="21" t="str">
        <f>IFERROR(VLOOKUP(May[[#This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21" t="str">
        <f>IFERROR(VLOOKUP(May[[#This Row],[Drug Name4]],'Data Options'!$R$1:$S$100,2,FALSE), " ")</f>
        <v xml:space="preserve"> </v>
      </c>
      <c r="AI113" s="32"/>
      <c r="AJ113" s="32"/>
      <c r="AK113" s="53"/>
      <c r="AL113" s="21" t="str">
        <f>IFERROR(VLOOKUP(May[[#This Row],[Drug Name5]],'Data Options'!$R$1:$S$100,2,FALSE), " ")</f>
        <v xml:space="preserve"> </v>
      </c>
      <c r="AM113" s="32"/>
      <c r="AN113" s="32"/>
      <c r="AO113" s="53"/>
      <c r="AP113" s="21" t="str">
        <f>IFERROR(VLOOKUP(May[[#This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21" t="str">
        <f>IFERROR(VLOOKUP(May[[#This Row],[Drug Name7]],'Data Options'!$R$1:$S$100,2,FALSE), " ")</f>
        <v xml:space="preserve"> </v>
      </c>
      <c r="AZ113" s="32"/>
      <c r="BA113" s="32"/>
      <c r="BB113" s="53"/>
      <c r="BC113" s="21" t="str">
        <f>IFERROR(VLOOKUP(May[[#This Row],[Drug Name8]],'Data Options'!$R$1:$S$100,2,FALSE), " ")</f>
        <v xml:space="preserve"> </v>
      </c>
      <c r="BD113" s="32"/>
      <c r="BE113" s="32"/>
      <c r="BF113" s="53"/>
      <c r="BG113" s="21" t="str">
        <f>IFERROR(VLOOKUP(May[[#This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21" t="str">
        <f>IFERROR(VLOOKUP(May[[#This Row],[Drug Name]],'Data Options'!$R$1:$S$100,2,FALSE), " ")</f>
        <v xml:space="preserve"> </v>
      </c>
      <c r="R114" s="32"/>
      <c r="S114" s="32"/>
      <c r="T114" s="53"/>
      <c r="U114" s="21" t="str">
        <f>IFERROR(VLOOKUP(May[[#This Row],[Drug Name2]],'Data Options'!$R$1:$S$100,2,FALSE), " ")</f>
        <v xml:space="preserve"> </v>
      </c>
      <c r="V114" s="32"/>
      <c r="W114" s="32"/>
      <c r="X114" s="53"/>
      <c r="Y114" s="21" t="str">
        <f>IFERROR(VLOOKUP(May[[#This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21" t="str">
        <f>IFERROR(VLOOKUP(May[[#This Row],[Drug Name4]],'Data Options'!$R$1:$S$100,2,FALSE), " ")</f>
        <v xml:space="preserve"> </v>
      </c>
      <c r="AI114" s="32"/>
      <c r="AJ114" s="32"/>
      <c r="AK114" s="53"/>
      <c r="AL114" s="21" t="str">
        <f>IFERROR(VLOOKUP(May[[#This Row],[Drug Name5]],'Data Options'!$R$1:$S$100,2,FALSE), " ")</f>
        <v xml:space="preserve"> </v>
      </c>
      <c r="AM114" s="32"/>
      <c r="AN114" s="32"/>
      <c r="AO114" s="53"/>
      <c r="AP114" s="21" t="str">
        <f>IFERROR(VLOOKUP(May[[#This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21" t="str">
        <f>IFERROR(VLOOKUP(May[[#This Row],[Drug Name7]],'Data Options'!$R$1:$S$100,2,FALSE), " ")</f>
        <v xml:space="preserve"> </v>
      </c>
      <c r="AZ114" s="32"/>
      <c r="BA114" s="32"/>
      <c r="BB114" s="53"/>
      <c r="BC114" s="21" t="str">
        <f>IFERROR(VLOOKUP(May[[#This Row],[Drug Name8]],'Data Options'!$R$1:$S$100,2,FALSE), " ")</f>
        <v xml:space="preserve"> </v>
      </c>
      <c r="BD114" s="32"/>
      <c r="BE114" s="32"/>
      <c r="BF114" s="53"/>
      <c r="BG114" s="21" t="str">
        <f>IFERROR(VLOOKUP(May[[#This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21" t="str">
        <f>IFERROR(VLOOKUP(May[[#This Row],[Drug Name]],'Data Options'!$R$1:$S$100,2,FALSE), " ")</f>
        <v xml:space="preserve"> </v>
      </c>
      <c r="R115" s="32"/>
      <c r="S115" s="32"/>
      <c r="T115" s="53"/>
      <c r="U115" s="21" t="str">
        <f>IFERROR(VLOOKUP(May[[#This Row],[Drug Name2]],'Data Options'!$R$1:$S$100,2,FALSE), " ")</f>
        <v xml:space="preserve"> </v>
      </c>
      <c r="V115" s="32"/>
      <c r="W115" s="32"/>
      <c r="X115" s="53"/>
      <c r="Y115" s="21" t="str">
        <f>IFERROR(VLOOKUP(May[[#This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21" t="str">
        <f>IFERROR(VLOOKUP(May[[#This Row],[Drug Name4]],'Data Options'!$R$1:$S$100,2,FALSE), " ")</f>
        <v xml:space="preserve"> </v>
      </c>
      <c r="AI115" s="32"/>
      <c r="AJ115" s="32"/>
      <c r="AK115" s="53"/>
      <c r="AL115" s="21" t="str">
        <f>IFERROR(VLOOKUP(May[[#This Row],[Drug Name5]],'Data Options'!$R$1:$S$100,2,FALSE), " ")</f>
        <v xml:space="preserve"> </v>
      </c>
      <c r="AM115" s="32"/>
      <c r="AN115" s="32"/>
      <c r="AO115" s="53"/>
      <c r="AP115" s="21" t="str">
        <f>IFERROR(VLOOKUP(May[[#This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21" t="str">
        <f>IFERROR(VLOOKUP(May[[#This Row],[Drug Name7]],'Data Options'!$R$1:$S$100,2,FALSE), " ")</f>
        <v xml:space="preserve"> </v>
      </c>
      <c r="AZ115" s="32"/>
      <c r="BA115" s="32"/>
      <c r="BB115" s="53"/>
      <c r="BC115" s="21" t="str">
        <f>IFERROR(VLOOKUP(May[[#This Row],[Drug Name8]],'Data Options'!$R$1:$S$100,2,FALSE), " ")</f>
        <v xml:space="preserve"> </v>
      </c>
      <c r="BD115" s="32"/>
      <c r="BE115" s="32"/>
      <c r="BF115" s="53"/>
      <c r="BG115" s="21" t="str">
        <f>IFERROR(VLOOKUP(May[[#This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21" t="str">
        <f>IFERROR(VLOOKUP(May[[#This Row],[Drug Name]],'Data Options'!$R$1:$S$100,2,FALSE), " ")</f>
        <v xml:space="preserve"> </v>
      </c>
      <c r="R116" s="32"/>
      <c r="S116" s="32"/>
      <c r="T116" s="53"/>
      <c r="U116" s="21" t="str">
        <f>IFERROR(VLOOKUP(May[[#This Row],[Drug Name2]],'Data Options'!$R$1:$S$100,2,FALSE), " ")</f>
        <v xml:space="preserve"> </v>
      </c>
      <c r="V116" s="32"/>
      <c r="W116" s="32"/>
      <c r="X116" s="53"/>
      <c r="Y116" s="21" t="str">
        <f>IFERROR(VLOOKUP(May[[#This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21" t="str">
        <f>IFERROR(VLOOKUP(May[[#This Row],[Drug Name4]],'Data Options'!$R$1:$S$100,2,FALSE), " ")</f>
        <v xml:space="preserve"> </v>
      </c>
      <c r="AI116" s="32"/>
      <c r="AJ116" s="32"/>
      <c r="AK116" s="53"/>
      <c r="AL116" s="21" t="str">
        <f>IFERROR(VLOOKUP(May[[#This Row],[Drug Name5]],'Data Options'!$R$1:$S$100,2,FALSE), " ")</f>
        <v xml:space="preserve"> </v>
      </c>
      <c r="AM116" s="32"/>
      <c r="AN116" s="32"/>
      <c r="AO116" s="53"/>
      <c r="AP116" s="21" t="str">
        <f>IFERROR(VLOOKUP(May[[#This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21" t="str">
        <f>IFERROR(VLOOKUP(May[[#This Row],[Drug Name7]],'Data Options'!$R$1:$S$100,2,FALSE), " ")</f>
        <v xml:space="preserve"> </v>
      </c>
      <c r="AZ116" s="32"/>
      <c r="BA116" s="32"/>
      <c r="BB116" s="53"/>
      <c r="BC116" s="21" t="str">
        <f>IFERROR(VLOOKUP(May[[#This Row],[Drug Name8]],'Data Options'!$R$1:$S$100,2,FALSE), " ")</f>
        <v xml:space="preserve"> </v>
      </c>
      <c r="BD116" s="32"/>
      <c r="BE116" s="32"/>
      <c r="BF116" s="53"/>
      <c r="BG116" s="21" t="str">
        <f>IFERROR(VLOOKUP(May[[#This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21" t="str">
        <f>IFERROR(VLOOKUP(May[[#This Row],[Drug Name]],'Data Options'!$R$1:$S$100,2,FALSE), " ")</f>
        <v xml:space="preserve"> </v>
      </c>
      <c r="R117" s="32"/>
      <c r="S117" s="32"/>
      <c r="T117" s="53"/>
      <c r="U117" s="21" t="str">
        <f>IFERROR(VLOOKUP(May[[#This Row],[Drug Name2]],'Data Options'!$R$1:$S$100,2,FALSE), " ")</f>
        <v xml:space="preserve"> </v>
      </c>
      <c r="V117" s="32"/>
      <c r="W117" s="32"/>
      <c r="X117" s="53"/>
      <c r="Y117" s="21" t="str">
        <f>IFERROR(VLOOKUP(May[[#This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21" t="str">
        <f>IFERROR(VLOOKUP(May[[#This Row],[Drug Name4]],'Data Options'!$R$1:$S$100,2,FALSE), " ")</f>
        <v xml:space="preserve"> </v>
      </c>
      <c r="AI117" s="32"/>
      <c r="AJ117" s="32"/>
      <c r="AK117" s="53"/>
      <c r="AL117" s="21" t="str">
        <f>IFERROR(VLOOKUP(May[[#This Row],[Drug Name5]],'Data Options'!$R$1:$S$100,2,FALSE), " ")</f>
        <v xml:space="preserve"> </v>
      </c>
      <c r="AM117" s="32"/>
      <c r="AN117" s="32"/>
      <c r="AO117" s="53"/>
      <c r="AP117" s="21" t="str">
        <f>IFERROR(VLOOKUP(May[[#This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21" t="str">
        <f>IFERROR(VLOOKUP(May[[#This Row],[Drug Name7]],'Data Options'!$R$1:$S$100,2,FALSE), " ")</f>
        <v xml:space="preserve"> </v>
      </c>
      <c r="AZ117" s="32"/>
      <c r="BA117" s="32"/>
      <c r="BB117" s="53"/>
      <c r="BC117" s="21" t="str">
        <f>IFERROR(VLOOKUP(May[[#This Row],[Drug Name8]],'Data Options'!$R$1:$S$100,2,FALSE), " ")</f>
        <v xml:space="preserve"> </v>
      </c>
      <c r="BD117" s="32"/>
      <c r="BE117" s="32"/>
      <c r="BF117" s="53"/>
      <c r="BG117" s="21" t="str">
        <f>IFERROR(VLOOKUP(May[[#This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21" t="str">
        <f>IFERROR(VLOOKUP(May[[#This Row],[Drug Name]],'Data Options'!$R$1:$S$100,2,FALSE), " ")</f>
        <v xml:space="preserve"> </v>
      </c>
      <c r="R118" s="32"/>
      <c r="S118" s="32"/>
      <c r="T118" s="53"/>
      <c r="U118" s="21" t="str">
        <f>IFERROR(VLOOKUP(May[[#This Row],[Drug Name2]],'Data Options'!$R$1:$S$100,2,FALSE), " ")</f>
        <v xml:space="preserve"> </v>
      </c>
      <c r="V118" s="32"/>
      <c r="W118" s="32"/>
      <c r="X118" s="53"/>
      <c r="Y118" s="21" t="str">
        <f>IFERROR(VLOOKUP(May[[#This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21" t="str">
        <f>IFERROR(VLOOKUP(May[[#This Row],[Drug Name4]],'Data Options'!$R$1:$S$100,2,FALSE), " ")</f>
        <v xml:space="preserve"> </v>
      </c>
      <c r="AI118" s="32"/>
      <c r="AJ118" s="32"/>
      <c r="AK118" s="53"/>
      <c r="AL118" s="21" t="str">
        <f>IFERROR(VLOOKUP(May[[#This Row],[Drug Name5]],'Data Options'!$R$1:$S$100,2,FALSE), " ")</f>
        <v xml:space="preserve"> </v>
      </c>
      <c r="AM118" s="32"/>
      <c r="AN118" s="32"/>
      <c r="AO118" s="53"/>
      <c r="AP118" s="21" t="str">
        <f>IFERROR(VLOOKUP(May[[#This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21" t="str">
        <f>IFERROR(VLOOKUP(May[[#This Row],[Drug Name7]],'Data Options'!$R$1:$S$100,2,FALSE), " ")</f>
        <v xml:space="preserve"> </v>
      </c>
      <c r="AZ118" s="32"/>
      <c r="BA118" s="32"/>
      <c r="BB118" s="53"/>
      <c r="BC118" s="21" t="str">
        <f>IFERROR(VLOOKUP(May[[#This Row],[Drug Name8]],'Data Options'!$R$1:$S$100,2,FALSE), " ")</f>
        <v xml:space="preserve"> </v>
      </c>
      <c r="BD118" s="32"/>
      <c r="BE118" s="32"/>
      <c r="BF118" s="53"/>
      <c r="BG118" s="21" t="str">
        <f>IFERROR(VLOOKUP(May[[#This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21" t="str">
        <f>IFERROR(VLOOKUP(May[[#This Row],[Drug Name]],'Data Options'!$R$1:$S$100,2,FALSE), " ")</f>
        <v xml:space="preserve"> </v>
      </c>
      <c r="R119" s="32"/>
      <c r="S119" s="32"/>
      <c r="T119" s="53"/>
      <c r="U119" s="21" t="str">
        <f>IFERROR(VLOOKUP(May[[#This Row],[Drug Name2]],'Data Options'!$R$1:$S$100,2,FALSE), " ")</f>
        <v xml:space="preserve"> </v>
      </c>
      <c r="V119" s="32"/>
      <c r="W119" s="32"/>
      <c r="X119" s="53"/>
      <c r="Y119" s="21" t="str">
        <f>IFERROR(VLOOKUP(May[[#This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21" t="str">
        <f>IFERROR(VLOOKUP(May[[#This Row],[Drug Name4]],'Data Options'!$R$1:$S$100,2,FALSE), " ")</f>
        <v xml:space="preserve"> </v>
      </c>
      <c r="AI119" s="32"/>
      <c r="AJ119" s="32"/>
      <c r="AK119" s="53"/>
      <c r="AL119" s="21" t="str">
        <f>IFERROR(VLOOKUP(May[[#This Row],[Drug Name5]],'Data Options'!$R$1:$S$100,2,FALSE), " ")</f>
        <v xml:space="preserve"> </v>
      </c>
      <c r="AM119" s="32"/>
      <c r="AN119" s="32"/>
      <c r="AO119" s="53"/>
      <c r="AP119" s="21" t="str">
        <f>IFERROR(VLOOKUP(May[[#This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21" t="str">
        <f>IFERROR(VLOOKUP(May[[#This Row],[Drug Name7]],'Data Options'!$R$1:$S$100,2,FALSE), " ")</f>
        <v xml:space="preserve"> </v>
      </c>
      <c r="AZ119" s="32"/>
      <c r="BA119" s="32"/>
      <c r="BB119" s="53"/>
      <c r="BC119" s="21" t="str">
        <f>IFERROR(VLOOKUP(May[[#This Row],[Drug Name8]],'Data Options'!$R$1:$S$100,2,FALSE), " ")</f>
        <v xml:space="preserve"> </v>
      </c>
      <c r="BD119" s="32"/>
      <c r="BE119" s="32"/>
      <c r="BF119" s="53"/>
      <c r="BG119" s="21" t="str">
        <f>IFERROR(VLOOKUP(May[[#This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21" t="str">
        <f>IFERROR(VLOOKUP(May[[#This Row],[Drug Name]],'Data Options'!$R$1:$S$100,2,FALSE), " ")</f>
        <v xml:space="preserve"> </v>
      </c>
      <c r="R120" s="32"/>
      <c r="S120" s="32"/>
      <c r="T120" s="53"/>
      <c r="U120" s="21" t="str">
        <f>IFERROR(VLOOKUP(May[[#This Row],[Drug Name2]],'Data Options'!$R$1:$S$100,2,FALSE), " ")</f>
        <v xml:space="preserve"> </v>
      </c>
      <c r="V120" s="32"/>
      <c r="W120" s="32"/>
      <c r="X120" s="53"/>
      <c r="Y120" s="21" t="str">
        <f>IFERROR(VLOOKUP(May[[#This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21" t="str">
        <f>IFERROR(VLOOKUP(May[[#This Row],[Drug Name4]],'Data Options'!$R$1:$S$100,2,FALSE), " ")</f>
        <v xml:space="preserve"> </v>
      </c>
      <c r="AI120" s="32"/>
      <c r="AJ120" s="32"/>
      <c r="AK120" s="53"/>
      <c r="AL120" s="21" t="str">
        <f>IFERROR(VLOOKUP(May[[#This Row],[Drug Name5]],'Data Options'!$R$1:$S$100,2,FALSE), " ")</f>
        <v xml:space="preserve"> </v>
      </c>
      <c r="AM120" s="32"/>
      <c r="AN120" s="32"/>
      <c r="AO120" s="53"/>
      <c r="AP120" s="21" t="str">
        <f>IFERROR(VLOOKUP(May[[#This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21" t="str">
        <f>IFERROR(VLOOKUP(May[[#This Row],[Drug Name7]],'Data Options'!$R$1:$S$100,2,FALSE), " ")</f>
        <v xml:space="preserve"> </v>
      </c>
      <c r="AZ120" s="32"/>
      <c r="BA120" s="32"/>
      <c r="BB120" s="53"/>
      <c r="BC120" s="21" t="str">
        <f>IFERROR(VLOOKUP(May[[#This Row],[Drug Name8]],'Data Options'!$R$1:$S$100,2,FALSE), " ")</f>
        <v xml:space="preserve"> </v>
      </c>
      <c r="BD120" s="32"/>
      <c r="BE120" s="32"/>
      <c r="BF120" s="53"/>
      <c r="BG120" s="21" t="str">
        <f>IFERROR(VLOOKUP(May[[#This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21" t="str">
        <f>IFERROR(VLOOKUP(May[[#This Row],[Drug Name]],'Data Options'!$R$1:$S$100,2,FALSE), " ")</f>
        <v xml:space="preserve"> </v>
      </c>
      <c r="R121" s="32"/>
      <c r="S121" s="32"/>
      <c r="T121" s="53"/>
      <c r="U121" s="21" t="str">
        <f>IFERROR(VLOOKUP(May[[#This Row],[Drug Name2]],'Data Options'!$R$1:$S$100,2,FALSE), " ")</f>
        <v xml:space="preserve"> </v>
      </c>
      <c r="V121" s="32"/>
      <c r="W121" s="32"/>
      <c r="X121" s="53"/>
      <c r="Y121" s="21" t="str">
        <f>IFERROR(VLOOKUP(May[[#This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21" t="str">
        <f>IFERROR(VLOOKUP(May[[#This Row],[Drug Name4]],'Data Options'!$R$1:$S$100,2,FALSE), " ")</f>
        <v xml:space="preserve"> </v>
      </c>
      <c r="AI121" s="32"/>
      <c r="AJ121" s="32"/>
      <c r="AK121" s="53"/>
      <c r="AL121" s="21" t="str">
        <f>IFERROR(VLOOKUP(May[[#This Row],[Drug Name5]],'Data Options'!$R$1:$S$100,2,FALSE), " ")</f>
        <v xml:space="preserve"> </v>
      </c>
      <c r="AM121" s="32"/>
      <c r="AN121" s="32"/>
      <c r="AO121" s="53"/>
      <c r="AP121" s="21" t="str">
        <f>IFERROR(VLOOKUP(May[[#This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21" t="str">
        <f>IFERROR(VLOOKUP(May[[#This Row],[Drug Name7]],'Data Options'!$R$1:$S$100,2,FALSE), " ")</f>
        <v xml:space="preserve"> </v>
      </c>
      <c r="AZ121" s="32"/>
      <c r="BA121" s="32"/>
      <c r="BB121" s="53"/>
      <c r="BC121" s="21" t="str">
        <f>IFERROR(VLOOKUP(May[[#This Row],[Drug Name8]],'Data Options'!$R$1:$S$100,2,FALSE), " ")</f>
        <v xml:space="preserve"> </v>
      </c>
      <c r="BD121" s="32"/>
      <c r="BE121" s="32"/>
      <c r="BF121" s="53"/>
      <c r="BG121" s="21" t="str">
        <f>IFERROR(VLOOKUP(May[[#This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21" t="str">
        <f>IFERROR(VLOOKUP(May[[#This Row],[Drug Name]],'Data Options'!$R$1:$S$100,2,FALSE), " ")</f>
        <v xml:space="preserve"> </v>
      </c>
      <c r="R122" s="32"/>
      <c r="S122" s="32"/>
      <c r="T122" s="53"/>
      <c r="U122" s="21" t="str">
        <f>IFERROR(VLOOKUP(May[[#This Row],[Drug Name2]],'Data Options'!$R$1:$S$100,2,FALSE), " ")</f>
        <v xml:space="preserve"> </v>
      </c>
      <c r="V122" s="32"/>
      <c r="W122" s="32"/>
      <c r="X122" s="53"/>
      <c r="Y122" s="21" t="str">
        <f>IFERROR(VLOOKUP(May[[#This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21" t="str">
        <f>IFERROR(VLOOKUP(May[[#This Row],[Drug Name4]],'Data Options'!$R$1:$S$100,2,FALSE), " ")</f>
        <v xml:space="preserve"> </v>
      </c>
      <c r="AI122" s="32"/>
      <c r="AJ122" s="32"/>
      <c r="AK122" s="53"/>
      <c r="AL122" s="21" t="str">
        <f>IFERROR(VLOOKUP(May[[#This Row],[Drug Name5]],'Data Options'!$R$1:$S$100,2,FALSE), " ")</f>
        <v xml:space="preserve"> </v>
      </c>
      <c r="AM122" s="32"/>
      <c r="AN122" s="32"/>
      <c r="AO122" s="53"/>
      <c r="AP122" s="21" t="str">
        <f>IFERROR(VLOOKUP(May[[#This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21" t="str">
        <f>IFERROR(VLOOKUP(May[[#This Row],[Drug Name7]],'Data Options'!$R$1:$S$100,2,FALSE), " ")</f>
        <v xml:space="preserve"> </v>
      </c>
      <c r="AZ122" s="32"/>
      <c r="BA122" s="32"/>
      <c r="BB122" s="53"/>
      <c r="BC122" s="21" t="str">
        <f>IFERROR(VLOOKUP(May[[#This Row],[Drug Name8]],'Data Options'!$R$1:$S$100,2,FALSE), " ")</f>
        <v xml:space="preserve"> </v>
      </c>
      <c r="BD122" s="32"/>
      <c r="BE122" s="32"/>
      <c r="BF122" s="53"/>
      <c r="BG122" s="21" t="str">
        <f>IFERROR(VLOOKUP(May[[#This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21" t="str">
        <f>IFERROR(VLOOKUP(May[[#This Row],[Drug Name]],'Data Options'!$R$1:$S$100,2,FALSE), " ")</f>
        <v xml:space="preserve"> </v>
      </c>
      <c r="R123" s="32"/>
      <c r="S123" s="32"/>
      <c r="T123" s="53"/>
      <c r="U123" s="21" t="str">
        <f>IFERROR(VLOOKUP(May[[#This Row],[Drug Name2]],'Data Options'!$R$1:$S$100,2,FALSE), " ")</f>
        <v xml:space="preserve"> </v>
      </c>
      <c r="V123" s="32"/>
      <c r="W123" s="32"/>
      <c r="X123" s="53"/>
      <c r="Y123" s="21" t="str">
        <f>IFERROR(VLOOKUP(May[[#This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21" t="str">
        <f>IFERROR(VLOOKUP(May[[#This Row],[Drug Name4]],'Data Options'!$R$1:$S$100,2,FALSE), " ")</f>
        <v xml:space="preserve"> </v>
      </c>
      <c r="AI123" s="32"/>
      <c r="AJ123" s="32"/>
      <c r="AK123" s="53"/>
      <c r="AL123" s="21" t="str">
        <f>IFERROR(VLOOKUP(May[[#This Row],[Drug Name5]],'Data Options'!$R$1:$S$100,2,FALSE), " ")</f>
        <v xml:space="preserve"> </v>
      </c>
      <c r="AM123" s="32"/>
      <c r="AN123" s="32"/>
      <c r="AO123" s="53"/>
      <c r="AP123" s="21" t="str">
        <f>IFERROR(VLOOKUP(May[[#This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21" t="str">
        <f>IFERROR(VLOOKUP(May[[#This Row],[Drug Name7]],'Data Options'!$R$1:$S$100,2,FALSE), " ")</f>
        <v xml:space="preserve"> </v>
      </c>
      <c r="AZ123" s="32"/>
      <c r="BA123" s="32"/>
      <c r="BB123" s="53"/>
      <c r="BC123" s="21" t="str">
        <f>IFERROR(VLOOKUP(May[[#This Row],[Drug Name8]],'Data Options'!$R$1:$S$100,2,FALSE), " ")</f>
        <v xml:space="preserve"> </v>
      </c>
      <c r="BD123" s="32"/>
      <c r="BE123" s="32"/>
      <c r="BF123" s="53"/>
      <c r="BG123" s="21" t="str">
        <f>IFERROR(VLOOKUP(May[[#This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21" t="str">
        <f>IFERROR(VLOOKUP(May[[#This Row],[Drug Name]],'Data Options'!$R$1:$S$100,2,FALSE), " ")</f>
        <v xml:space="preserve"> </v>
      </c>
      <c r="R124" s="32"/>
      <c r="S124" s="32"/>
      <c r="T124" s="53"/>
      <c r="U124" s="21" t="str">
        <f>IFERROR(VLOOKUP(May[[#This Row],[Drug Name2]],'Data Options'!$R$1:$S$100,2,FALSE), " ")</f>
        <v xml:space="preserve"> </v>
      </c>
      <c r="V124" s="32"/>
      <c r="W124" s="32"/>
      <c r="X124" s="53"/>
      <c r="Y124" s="21" t="str">
        <f>IFERROR(VLOOKUP(May[[#This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21" t="str">
        <f>IFERROR(VLOOKUP(May[[#This Row],[Drug Name4]],'Data Options'!$R$1:$S$100,2,FALSE), " ")</f>
        <v xml:space="preserve"> </v>
      </c>
      <c r="AI124" s="32"/>
      <c r="AJ124" s="32"/>
      <c r="AK124" s="53"/>
      <c r="AL124" s="21" t="str">
        <f>IFERROR(VLOOKUP(May[[#This Row],[Drug Name5]],'Data Options'!$R$1:$S$100,2,FALSE), " ")</f>
        <v xml:space="preserve"> </v>
      </c>
      <c r="AM124" s="32"/>
      <c r="AN124" s="32"/>
      <c r="AO124" s="53"/>
      <c r="AP124" s="21" t="str">
        <f>IFERROR(VLOOKUP(May[[#This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21" t="str">
        <f>IFERROR(VLOOKUP(May[[#This Row],[Drug Name7]],'Data Options'!$R$1:$S$100,2,FALSE), " ")</f>
        <v xml:space="preserve"> </v>
      </c>
      <c r="AZ124" s="32"/>
      <c r="BA124" s="32"/>
      <c r="BB124" s="53"/>
      <c r="BC124" s="21" t="str">
        <f>IFERROR(VLOOKUP(May[[#This Row],[Drug Name8]],'Data Options'!$R$1:$S$100,2,FALSE), " ")</f>
        <v xml:space="preserve"> </v>
      </c>
      <c r="BD124" s="32"/>
      <c r="BE124" s="32"/>
      <c r="BF124" s="53"/>
      <c r="BG124" s="21" t="str">
        <f>IFERROR(VLOOKUP(May[[#This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21" t="str">
        <f>IFERROR(VLOOKUP(May[[#This Row],[Drug Name]],'Data Options'!$R$1:$S$100,2,FALSE), " ")</f>
        <v xml:space="preserve"> </v>
      </c>
      <c r="R125" s="32"/>
      <c r="S125" s="32"/>
      <c r="T125" s="53"/>
      <c r="U125" s="21" t="str">
        <f>IFERROR(VLOOKUP(May[[#This Row],[Drug Name2]],'Data Options'!$R$1:$S$100,2,FALSE), " ")</f>
        <v xml:space="preserve"> </v>
      </c>
      <c r="V125" s="32"/>
      <c r="W125" s="32"/>
      <c r="X125" s="53"/>
      <c r="Y125" s="21" t="str">
        <f>IFERROR(VLOOKUP(May[[#This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21" t="str">
        <f>IFERROR(VLOOKUP(May[[#This Row],[Drug Name4]],'Data Options'!$R$1:$S$100,2,FALSE), " ")</f>
        <v xml:space="preserve"> </v>
      </c>
      <c r="AI125" s="32"/>
      <c r="AJ125" s="32"/>
      <c r="AK125" s="53"/>
      <c r="AL125" s="21" t="str">
        <f>IFERROR(VLOOKUP(May[[#This Row],[Drug Name5]],'Data Options'!$R$1:$S$100,2,FALSE), " ")</f>
        <v xml:space="preserve"> </v>
      </c>
      <c r="AM125" s="32"/>
      <c r="AN125" s="32"/>
      <c r="AO125" s="53"/>
      <c r="AP125" s="21" t="str">
        <f>IFERROR(VLOOKUP(May[[#This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21" t="str">
        <f>IFERROR(VLOOKUP(May[[#This Row],[Drug Name7]],'Data Options'!$R$1:$S$100,2,FALSE), " ")</f>
        <v xml:space="preserve"> </v>
      </c>
      <c r="AZ125" s="32"/>
      <c r="BA125" s="32"/>
      <c r="BB125" s="53"/>
      <c r="BC125" s="21" t="str">
        <f>IFERROR(VLOOKUP(May[[#This Row],[Drug Name8]],'Data Options'!$R$1:$S$100,2,FALSE), " ")</f>
        <v xml:space="preserve"> </v>
      </c>
      <c r="BD125" s="32"/>
      <c r="BE125" s="32"/>
      <c r="BF125" s="53"/>
      <c r="BG125" s="21" t="str">
        <f>IFERROR(VLOOKUP(May[[#This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21" t="str">
        <f>IFERROR(VLOOKUP(May[[#This Row],[Drug Name]],'Data Options'!$R$1:$S$100,2,FALSE), " ")</f>
        <v xml:space="preserve"> </v>
      </c>
      <c r="R126" s="32"/>
      <c r="S126" s="32"/>
      <c r="T126" s="53"/>
      <c r="U126" s="21" t="str">
        <f>IFERROR(VLOOKUP(May[[#This Row],[Drug Name2]],'Data Options'!$R$1:$S$100,2,FALSE), " ")</f>
        <v xml:space="preserve"> </v>
      </c>
      <c r="V126" s="32"/>
      <c r="W126" s="32"/>
      <c r="X126" s="53"/>
      <c r="Y126" s="21" t="str">
        <f>IFERROR(VLOOKUP(May[[#This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21" t="str">
        <f>IFERROR(VLOOKUP(May[[#This Row],[Drug Name4]],'Data Options'!$R$1:$S$100,2,FALSE), " ")</f>
        <v xml:space="preserve"> </v>
      </c>
      <c r="AI126" s="32"/>
      <c r="AJ126" s="32"/>
      <c r="AK126" s="53"/>
      <c r="AL126" s="21" t="str">
        <f>IFERROR(VLOOKUP(May[[#This Row],[Drug Name5]],'Data Options'!$R$1:$S$100,2,FALSE), " ")</f>
        <v xml:space="preserve"> </v>
      </c>
      <c r="AM126" s="32"/>
      <c r="AN126" s="32"/>
      <c r="AO126" s="53"/>
      <c r="AP126" s="21" t="str">
        <f>IFERROR(VLOOKUP(May[[#This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21" t="str">
        <f>IFERROR(VLOOKUP(May[[#This Row],[Drug Name7]],'Data Options'!$R$1:$S$100,2,FALSE), " ")</f>
        <v xml:space="preserve"> </v>
      </c>
      <c r="AZ126" s="32"/>
      <c r="BA126" s="32"/>
      <c r="BB126" s="53"/>
      <c r="BC126" s="21" t="str">
        <f>IFERROR(VLOOKUP(May[[#This Row],[Drug Name8]],'Data Options'!$R$1:$S$100,2,FALSE), " ")</f>
        <v xml:space="preserve"> </v>
      </c>
      <c r="BD126" s="32"/>
      <c r="BE126" s="32"/>
      <c r="BF126" s="53"/>
      <c r="BG126" s="21" t="str">
        <f>IFERROR(VLOOKUP(May[[#This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21" t="str">
        <f>IFERROR(VLOOKUP(May[[#This Row],[Drug Name]],'Data Options'!$R$1:$S$100,2,FALSE), " ")</f>
        <v xml:space="preserve"> </v>
      </c>
      <c r="R127" s="32"/>
      <c r="S127" s="32"/>
      <c r="T127" s="53"/>
      <c r="U127" s="21" t="str">
        <f>IFERROR(VLOOKUP(May[[#This Row],[Drug Name2]],'Data Options'!$R$1:$S$100,2,FALSE), " ")</f>
        <v xml:space="preserve"> </v>
      </c>
      <c r="V127" s="32"/>
      <c r="W127" s="32"/>
      <c r="X127" s="53"/>
      <c r="Y127" s="21" t="str">
        <f>IFERROR(VLOOKUP(May[[#This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21" t="str">
        <f>IFERROR(VLOOKUP(May[[#This Row],[Drug Name4]],'Data Options'!$R$1:$S$100,2,FALSE), " ")</f>
        <v xml:space="preserve"> </v>
      </c>
      <c r="AI127" s="32"/>
      <c r="AJ127" s="32"/>
      <c r="AK127" s="53"/>
      <c r="AL127" s="21" t="str">
        <f>IFERROR(VLOOKUP(May[[#This Row],[Drug Name5]],'Data Options'!$R$1:$S$100,2,FALSE), " ")</f>
        <v xml:space="preserve"> </v>
      </c>
      <c r="AM127" s="32"/>
      <c r="AN127" s="32"/>
      <c r="AO127" s="53"/>
      <c r="AP127" s="21" t="str">
        <f>IFERROR(VLOOKUP(May[[#This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21" t="str">
        <f>IFERROR(VLOOKUP(May[[#This Row],[Drug Name7]],'Data Options'!$R$1:$S$100,2,FALSE), " ")</f>
        <v xml:space="preserve"> </v>
      </c>
      <c r="AZ127" s="32"/>
      <c r="BA127" s="32"/>
      <c r="BB127" s="53"/>
      <c r="BC127" s="21" t="str">
        <f>IFERROR(VLOOKUP(May[[#This Row],[Drug Name8]],'Data Options'!$R$1:$S$100,2,FALSE), " ")</f>
        <v xml:space="preserve"> </v>
      </c>
      <c r="BD127" s="32"/>
      <c r="BE127" s="32"/>
      <c r="BF127" s="53"/>
      <c r="BG127" s="21" t="str">
        <f>IFERROR(VLOOKUP(May[[#This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21" t="str">
        <f>IFERROR(VLOOKUP(May[[#This Row],[Drug Name]],'Data Options'!$R$1:$S$100,2,FALSE), " ")</f>
        <v xml:space="preserve"> </v>
      </c>
      <c r="R128" s="32"/>
      <c r="S128" s="32"/>
      <c r="T128" s="53"/>
      <c r="U128" s="21" t="str">
        <f>IFERROR(VLOOKUP(May[[#This Row],[Drug Name2]],'Data Options'!$R$1:$S$100,2,FALSE), " ")</f>
        <v xml:space="preserve"> </v>
      </c>
      <c r="V128" s="32"/>
      <c r="W128" s="32"/>
      <c r="X128" s="53"/>
      <c r="Y128" s="21" t="str">
        <f>IFERROR(VLOOKUP(May[[#This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21" t="str">
        <f>IFERROR(VLOOKUP(May[[#This Row],[Drug Name4]],'Data Options'!$R$1:$S$100,2,FALSE), " ")</f>
        <v xml:space="preserve"> </v>
      </c>
      <c r="AI128" s="32"/>
      <c r="AJ128" s="32"/>
      <c r="AK128" s="53"/>
      <c r="AL128" s="21" t="str">
        <f>IFERROR(VLOOKUP(May[[#This Row],[Drug Name5]],'Data Options'!$R$1:$S$100,2,FALSE), " ")</f>
        <v xml:space="preserve"> </v>
      </c>
      <c r="AM128" s="32"/>
      <c r="AN128" s="32"/>
      <c r="AO128" s="53"/>
      <c r="AP128" s="21" t="str">
        <f>IFERROR(VLOOKUP(May[[#This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21" t="str">
        <f>IFERROR(VLOOKUP(May[[#This Row],[Drug Name7]],'Data Options'!$R$1:$S$100,2,FALSE), " ")</f>
        <v xml:space="preserve"> </v>
      </c>
      <c r="AZ128" s="32"/>
      <c r="BA128" s="32"/>
      <c r="BB128" s="53"/>
      <c r="BC128" s="21" t="str">
        <f>IFERROR(VLOOKUP(May[[#This Row],[Drug Name8]],'Data Options'!$R$1:$S$100,2,FALSE), " ")</f>
        <v xml:space="preserve"> </v>
      </c>
      <c r="BD128" s="32"/>
      <c r="BE128" s="32"/>
      <c r="BF128" s="53"/>
      <c r="BG128" s="21" t="str">
        <f>IFERROR(VLOOKUP(May[[#This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21" t="str">
        <f>IFERROR(VLOOKUP(May[[#This Row],[Drug Name]],'Data Options'!$R$1:$S$100,2,FALSE), " ")</f>
        <v xml:space="preserve"> </v>
      </c>
      <c r="R129" s="32"/>
      <c r="S129" s="32"/>
      <c r="T129" s="53"/>
      <c r="U129" s="21" t="str">
        <f>IFERROR(VLOOKUP(May[[#This Row],[Drug Name2]],'Data Options'!$R$1:$S$100,2,FALSE), " ")</f>
        <v xml:space="preserve"> </v>
      </c>
      <c r="V129" s="32"/>
      <c r="W129" s="32"/>
      <c r="X129" s="53"/>
      <c r="Y129" s="21" t="str">
        <f>IFERROR(VLOOKUP(May[[#This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21" t="str">
        <f>IFERROR(VLOOKUP(May[[#This Row],[Drug Name4]],'Data Options'!$R$1:$S$100,2,FALSE), " ")</f>
        <v xml:space="preserve"> </v>
      </c>
      <c r="AI129" s="32"/>
      <c r="AJ129" s="32"/>
      <c r="AK129" s="53"/>
      <c r="AL129" s="21" t="str">
        <f>IFERROR(VLOOKUP(May[[#This Row],[Drug Name5]],'Data Options'!$R$1:$S$100,2,FALSE), " ")</f>
        <v xml:space="preserve"> </v>
      </c>
      <c r="AM129" s="32"/>
      <c r="AN129" s="32"/>
      <c r="AO129" s="53"/>
      <c r="AP129" s="21" t="str">
        <f>IFERROR(VLOOKUP(May[[#This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21" t="str">
        <f>IFERROR(VLOOKUP(May[[#This Row],[Drug Name7]],'Data Options'!$R$1:$S$100,2,FALSE), " ")</f>
        <v xml:space="preserve"> </v>
      </c>
      <c r="AZ129" s="32"/>
      <c r="BA129" s="32"/>
      <c r="BB129" s="53"/>
      <c r="BC129" s="21" t="str">
        <f>IFERROR(VLOOKUP(May[[#This Row],[Drug Name8]],'Data Options'!$R$1:$S$100,2,FALSE), " ")</f>
        <v xml:space="preserve"> </v>
      </c>
      <c r="BD129" s="32"/>
      <c r="BE129" s="32"/>
      <c r="BF129" s="53"/>
      <c r="BG129" s="21" t="str">
        <f>IFERROR(VLOOKUP(May[[#This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21" t="str">
        <f>IFERROR(VLOOKUP(May[[#This Row],[Drug Name]],'Data Options'!$R$1:$S$100,2,FALSE), " ")</f>
        <v xml:space="preserve"> </v>
      </c>
      <c r="R130" s="32"/>
      <c r="S130" s="32"/>
      <c r="T130" s="53"/>
      <c r="U130" s="21" t="str">
        <f>IFERROR(VLOOKUP(May[[#This Row],[Drug Name2]],'Data Options'!$R$1:$S$100,2,FALSE), " ")</f>
        <v xml:space="preserve"> </v>
      </c>
      <c r="V130" s="32"/>
      <c r="W130" s="32"/>
      <c r="X130" s="53"/>
      <c r="Y130" s="21" t="str">
        <f>IFERROR(VLOOKUP(May[[#This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21" t="str">
        <f>IFERROR(VLOOKUP(May[[#This Row],[Drug Name4]],'Data Options'!$R$1:$S$100,2,FALSE), " ")</f>
        <v xml:space="preserve"> </v>
      </c>
      <c r="AI130" s="32"/>
      <c r="AJ130" s="32"/>
      <c r="AK130" s="53"/>
      <c r="AL130" s="21" t="str">
        <f>IFERROR(VLOOKUP(May[[#This Row],[Drug Name5]],'Data Options'!$R$1:$S$100,2,FALSE), " ")</f>
        <v xml:space="preserve"> </v>
      </c>
      <c r="AM130" s="32"/>
      <c r="AN130" s="32"/>
      <c r="AO130" s="53"/>
      <c r="AP130" s="21" t="str">
        <f>IFERROR(VLOOKUP(May[[#This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21" t="str">
        <f>IFERROR(VLOOKUP(May[[#This Row],[Drug Name7]],'Data Options'!$R$1:$S$100,2,FALSE), " ")</f>
        <v xml:space="preserve"> </v>
      </c>
      <c r="AZ130" s="32"/>
      <c r="BA130" s="32"/>
      <c r="BB130" s="53"/>
      <c r="BC130" s="21" t="str">
        <f>IFERROR(VLOOKUP(May[[#This Row],[Drug Name8]],'Data Options'!$R$1:$S$100,2,FALSE), " ")</f>
        <v xml:space="preserve"> </v>
      </c>
      <c r="BD130" s="32"/>
      <c r="BE130" s="32"/>
      <c r="BF130" s="53"/>
      <c r="BG130" s="21" t="str">
        <f>IFERROR(VLOOKUP(May[[#This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21" t="str">
        <f>IFERROR(VLOOKUP(May[[#This Row],[Drug Name]],'Data Options'!$R$1:$S$100,2,FALSE), " ")</f>
        <v xml:space="preserve"> </v>
      </c>
      <c r="R131" s="32"/>
      <c r="S131" s="32"/>
      <c r="T131" s="53"/>
      <c r="U131" s="21" t="str">
        <f>IFERROR(VLOOKUP(May[[#This Row],[Drug Name2]],'Data Options'!$R$1:$S$100,2,FALSE), " ")</f>
        <v xml:space="preserve"> </v>
      </c>
      <c r="V131" s="32"/>
      <c r="W131" s="32"/>
      <c r="X131" s="53"/>
      <c r="Y131" s="21" t="str">
        <f>IFERROR(VLOOKUP(May[[#This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21" t="str">
        <f>IFERROR(VLOOKUP(May[[#This Row],[Drug Name4]],'Data Options'!$R$1:$S$100,2,FALSE), " ")</f>
        <v xml:space="preserve"> </v>
      </c>
      <c r="AI131" s="32"/>
      <c r="AJ131" s="32"/>
      <c r="AK131" s="53"/>
      <c r="AL131" s="21" t="str">
        <f>IFERROR(VLOOKUP(May[[#This Row],[Drug Name5]],'Data Options'!$R$1:$S$100,2,FALSE), " ")</f>
        <v xml:space="preserve"> </v>
      </c>
      <c r="AM131" s="32"/>
      <c r="AN131" s="32"/>
      <c r="AO131" s="53"/>
      <c r="AP131" s="21" t="str">
        <f>IFERROR(VLOOKUP(May[[#This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21" t="str">
        <f>IFERROR(VLOOKUP(May[[#This Row],[Drug Name7]],'Data Options'!$R$1:$S$100,2,FALSE), " ")</f>
        <v xml:space="preserve"> </v>
      </c>
      <c r="AZ131" s="32"/>
      <c r="BA131" s="32"/>
      <c r="BB131" s="53"/>
      <c r="BC131" s="21" t="str">
        <f>IFERROR(VLOOKUP(May[[#This Row],[Drug Name8]],'Data Options'!$R$1:$S$100,2,FALSE), " ")</f>
        <v xml:space="preserve"> </v>
      </c>
      <c r="BD131" s="32"/>
      <c r="BE131" s="32"/>
      <c r="BF131" s="53"/>
      <c r="BG131" s="21" t="str">
        <f>IFERROR(VLOOKUP(May[[#This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21" t="str">
        <f>IFERROR(VLOOKUP(May[[#This Row],[Drug Name]],'Data Options'!$R$1:$S$100,2,FALSE), " ")</f>
        <v xml:space="preserve"> </v>
      </c>
      <c r="R132" s="32"/>
      <c r="S132" s="32"/>
      <c r="T132" s="53"/>
      <c r="U132" s="21" t="str">
        <f>IFERROR(VLOOKUP(May[[#This Row],[Drug Name2]],'Data Options'!$R$1:$S$100,2,FALSE), " ")</f>
        <v xml:space="preserve"> </v>
      </c>
      <c r="V132" s="32"/>
      <c r="W132" s="32"/>
      <c r="X132" s="53"/>
      <c r="Y132" s="21" t="str">
        <f>IFERROR(VLOOKUP(May[[#This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21" t="str">
        <f>IFERROR(VLOOKUP(May[[#This Row],[Drug Name4]],'Data Options'!$R$1:$S$100,2,FALSE), " ")</f>
        <v xml:space="preserve"> </v>
      </c>
      <c r="AI132" s="32"/>
      <c r="AJ132" s="32"/>
      <c r="AK132" s="53"/>
      <c r="AL132" s="21" t="str">
        <f>IFERROR(VLOOKUP(May[[#This Row],[Drug Name5]],'Data Options'!$R$1:$S$100,2,FALSE), " ")</f>
        <v xml:space="preserve"> </v>
      </c>
      <c r="AM132" s="32"/>
      <c r="AN132" s="32"/>
      <c r="AO132" s="53"/>
      <c r="AP132" s="21" t="str">
        <f>IFERROR(VLOOKUP(May[[#This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21" t="str">
        <f>IFERROR(VLOOKUP(May[[#This Row],[Drug Name7]],'Data Options'!$R$1:$S$100,2,FALSE), " ")</f>
        <v xml:space="preserve"> </v>
      </c>
      <c r="AZ132" s="32"/>
      <c r="BA132" s="32"/>
      <c r="BB132" s="53"/>
      <c r="BC132" s="21" t="str">
        <f>IFERROR(VLOOKUP(May[[#This Row],[Drug Name8]],'Data Options'!$R$1:$S$100,2,FALSE), " ")</f>
        <v xml:space="preserve"> </v>
      </c>
      <c r="BD132" s="32"/>
      <c r="BE132" s="32"/>
      <c r="BF132" s="53"/>
      <c r="BG132" s="21" t="str">
        <f>IFERROR(VLOOKUP(May[[#This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21" t="str">
        <f>IFERROR(VLOOKUP(May[[#This Row],[Drug Name]],'Data Options'!$R$1:$S$100,2,FALSE), " ")</f>
        <v xml:space="preserve"> </v>
      </c>
      <c r="R133" s="32"/>
      <c r="S133" s="32"/>
      <c r="T133" s="53"/>
      <c r="U133" s="21" t="str">
        <f>IFERROR(VLOOKUP(May[[#This Row],[Drug Name2]],'Data Options'!$R$1:$S$100,2,FALSE), " ")</f>
        <v xml:space="preserve"> </v>
      </c>
      <c r="V133" s="32"/>
      <c r="W133" s="32"/>
      <c r="X133" s="53"/>
      <c r="Y133" s="21" t="str">
        <f>IFERROR(VLOOKUP(May[[#This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21" t="str">
        <f>IFERROR(VLOOKUP(May[[#This Row],[Drug Name4]],'Data Options'!$R$1:$S$100,2,FALSE), " ")</f>
        <v xml:space="preserve"> </v>
      </c>
      <c r="AI133" s="32"/>
      <c r="AJ133" s="32"/>
      <c r="AK133" s="53"/>
      <c r="AL133" s="21" t="str">
        <f>IFERROR(VLOOKUP(May[[#This Row],[Drug Name5]],'Data Options'!$R$1:$S$100,2,FALSE), " ")</f>
        <v xml:space="preserve"> </v>
      </c>
      <c r="AM133" s="32"/>
      <c r="AN133" s="32"/>
      <c r="AO133" s="53"/>
      <c r="AP133" s="21" t="str">
        <f>IFERROR(VLOOKUP(May[[#This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21" t="str">
        <f>IFERROR(VLOOKUP(May[[#This Row],[Drug Name7]],'Data Options'!$R$1:$S$100,2,FALSE), " ")</f>
        <v xml:space="preserve"> </v>
      </c>
      <c r="AZ133" s="32"/>
      <c r="BA133" s="32"/>
      <c r="BB133" s="53"/>
      <c r="BC133" s="21" t="str">
        <f>IFERROR(VLOOKUP(May[[#This Row],[Drug Name8]],'Data Options'!$R$1:$S$100,2,FALSE), " ")</f>
        <v xml:space="preserve"> </v>
      </c>
      <c r="BD133" s="32"/>
      <c r="BE133" s="32"/>
      <c r="BF133" s="53"/>
      <c r="BG133" s="21" t="str">
        <f>IFERROR(VLOOKUP(May[[#This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21" t="str">
        <f>IFERROR(VLOOKUP(May[[#This Row],[Drug Name]],'Data Options'!$R$1:$S$100,2,FALSE), " ")</f>
        <v xml:space="preserve"> </v>
      </c>
      <c r="R134" s="32"/>
      <c r="S134" s="32"/>
      <c r="T134" s="53"/>
      <c r="U134" s="21" t="str">
        <f>IFERROR(VLOOKUP(May[[#This Row],[Drug Name2]],'Data Options'!$R$1:$S$100,2,FALSE), " ")</f>
        <v xml:space="preserve"> </v>
      </c>
      <c r="V134" s="32"/>
      <c r="W134" s="32"/>
      <c r="X134" s="53"/>
      <c r="Y134" s="21" t="str">
        <f>IFERROR(VLOOKUP(May[[#This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21" t="str">
        <f>IFERROR(VLOOKUP(May[[#This Row],[Drug Name4]],'Data Options'!$R$1:$S$100,2,FALSE), " ")</f>
        <v xml:space="preserve"> </v>
      </c>
      <c r="AI134" s="32"/>
      <c r="AJ134" s="32"/>
      <c r="AK134" s="53"/>
      <c r="AL134" s="21" t="str">
        <f>IFERROR(VLOOKUP(May[[#This Row],[Drug Name5]],'Data Options'!$R$1:$S$100,2,FALSE), " ")</f>
        <v xml:space="preserve"> </v>
      </c>
      <c r="AM134" s="32"/>
      <c r="AN134" s="32"/>
      <c r="AO134" s="53"/>
      <c r="AP134" s="21" t="str">
        <f>IFERROR(VLOOKUP(May[[#This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21" t="str">
        <f>IFERROR(VLOOKUP(May[[#This Row],[Drug Name7]],'Data Options'!$R$1:$S$100,2,FALSE), " ")</f>
        <v xml:space="preserve"> </v>
      </c>
      <c r="AZ134" s="32"/>
      <c r="BA134" s="32"/>
      <c r="BB134" s="53"/>
      <c r="BC134" s="21" t="str">
        <f>IFERROR(VLOOKUP(May[[#This Row],[Drug Name8]],'Data Options'!$R$1:$S$100,2,FALSE), " ")</f>
        <v xml:space="preserve"> </v>
      </c>
      <c r="BD134" s="32"/>
      <c r="BE134" s="32"/>
      <c r="BF134" s="53"/>
      <c r="BG134" s="21" t="str">
        <f>IFERROR(VLOOKUP(May[[#This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21" t="str">
        <f>IFERROR(VLOOKUP(May[[#This Row],[Drug Name]],'Data Options'!$R$1:$S$100,2,FALSE), " ")</f>
        <v xml:space="preserve"> </v>
      </c>
      <c r="R135" s="32"/>
      <c r="S135" s="32"/>
      <c r="T135" s="53"/>
      <c r="U135" s="21" t="str">
        <f>IFERROR(VLOOKUP(May[[#This Row],[Drug Name2]],'Data Options'!$R$1:$S$100,2,FALSE), " ")</f>
        <v xml:space="preserve"> </v>
      </c>
      <c r="V135" s="32"/>
      <c r="W135" s="32"/>
      <c r="X135" s="53"/>
      <c r="Y135" s="21" t="str">
        <f>IFERROR(VLOOKUP(May[[#This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21" t="str">
        <f>IFERROR(VLOOKUP(May[[#This Row],[Drug Name4]],'Data Options'!$R$1:$S$100,2,FALSE), " ")</f>
        <v xml:space="preserve"> </v>
      </c>
      <c r="AI135" s="32"/>
      <c r="AJ135" s="32"/>
      <c r="AK135" s="53"/>
      <c r="AL135" s="21" t="str">
        <f>IFERROR(VLOOKUP(May[[#This Row],[Drug Name5]],'Data Options'!$R$1:$S$100,2,FALSE), " ")</f>
        <v xml:space="preserve"> </v>
      </c>
      <c r="AM135" s="32"/>
      <c r="AN135" s="32"/>
      <c r="AO135" s="53"/>
      <c r="AP135" s="21" t="str">
        <f>IFERROR(VLOOKUP(May[[#This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21" t="str">
        <f>IFERROR(VLOOKUP(May[[#This Row],[Drug Name7]],'Data Options'!$R$1:$S$100,2,FALSE), " ")</f>
        <v xml:space="preserve"> </v>
      </c>
      <c r="AZ135" s="32"/>
      <c r="BA135" s="32"/>
      <c r="BB135" s="53"/>
      <c r="BC135" s="21" t="str">
        <f>IFERROR(VLOOKUP(May[[#This Row],[Drug Name8]],'Data Options'!$R$1:$S$100,2,FALSE), " ")</f>
        <v xml:space="preserve"> </v>
      </c>
      <c r="BD135" s="32"/>
      <c r="BE135" s="32"/>
      <c r="BF135" s="53"/>
      <c r="BG135" s="21" t="str">
        <f>IFERROR(VLOOKUP(May[[#This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21" t="str">
        <f>IFERROR(VLOOKUP(May[[#This Row],[Drug Name]],'Data Options'!$R$1:$S$100,2,FALSE), " ")</f>
        <v xml:space="preserve"> </v>
      </c>
      <c r="R136" s="32"/>
      <c r="S136" s="32"/>
      <c r="T136" s="53"/>
      <c r="U136" s="21" t="str">
        <f>IFERROR(VLOOKUP(May[[#This Row],[Drug Name2]],'Data Options'!$R$1:$S$100,2,FALSE), " ")</f>
        <v xml:space="preserve"> </v>
      </c>
      <c r="V136" s="32"/>
      <c r="W136" s="32"/>
      <c r="X136" s="53"/>
      <c r="Y136" s="21" t="str">
        <f>IFERROR(VLOOKUP(May[[#This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21" t="str">
        <f>IFERROR(VLOOKUP(May[[#This Row],[Drug Name4]],'Data Options'!$R$1:$S$100,2,FALSE), " ")</f>
        <v xml:space="preserve"> </v>
      </c>
      <c r="AI136" s="32"/>
      <c r="AJ136" s="32"/>
      <c r="AK136" s="53"/>
      <c r="AL136" s="21" t="str">
        <f>IFERROR(VLOOKUP(May[[#This Row],[Drug Name5]],'Data Options'!$R$1:$S$100,2,FALSE), " ")</f>
        <v xml:space="preserve"> </v>
      </c>
      <c r="AM136" s="32"/>
      <c r="AN136" s="32"/>
      <c r="AO136" s="53"/>
      <c r="AP136" s="21" t="str">
        <f>IFERROR(VLOOKUP(May[[#This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21" t="str">
        <f>IFERROR(VLOOKUP(May[[#This Row],[Drug Name7]],'Data Options'!$R$1:$S$100,2,FALSE), " ")</f>
        <v xml:space="preserve"> </v>
      </c>
      <c r="AZ136" s="32"/>
      <c r="BA136" s="32"/>
      <c r="BB136" s="53"/>
      <c r="BC136" s="21" t="str">
        <f>IFERROR(VLOOKUP(May[[#This Row],[Drug Name8]],'Data Options'!$R$1:$S$100,2,FALSE), " ")</f>
        <v xml:space="preserve"> </v>
      </c>
      <c r="BD136" s="32"/>
      <c r="BE136" s="32"/>
      <c r="BF136" s="53"/>
      <c r="BG136" s="21" t="str">
        <f>IFERROR(VLOOKUP(May[[#This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21" t="str">
        <f>IFERROR(VLOOKUP(May[[#This Row],[Drug Name]],'Data Options'!$R$1:$S$100,2,FALSE), " ")</f>
        <v xml:space="preserve"> </v>
      </c>
      <c r="R137" s="32"/>
      <c r="S137" s="32"/>
      <c r="T137" s="53"/>
      <c r="U137" s="21" t="str">
        <f>IFERROR(VLOOKUP(May[[#This Row],[Drug Name2]],'Data Options'!$R$1:$S$100,2,FALSE), " ")</f>
        <v xml:space="preserve"> </v>
      </c>
      <c r="V137" s="32"/>
      <c r="W137" s="32"/>
      <c r="X137" s="53"/>
      <c r="Y137" s="21" t="str">
        <f>IFERROR(VLOOKUP(May[[#This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21" t="str">
        <f>IFERROR(VLOOKUP(May[[#This Row],[Drug Name4]],'Data Options'!$R$1:$S$100,2,FALSE), " ")</f>
        <v xml:space="preserve"> </v>
      </c>
      <c r="AI137" s="32"/>
      <c r="AJ137" s="32"/>
      <c r="AK137" s="53"/>
      <c r="AL137" s="21" t="str">
        <f>IFERROR(VLOOKUP(May[[#This Row],[Drug Name5]],'Data Options'!$R$1:$S$100,2,FALSE), " ")</f>
        <v xml:space="preserve"> </v>
      </c>
      <c r="AM137" s="32"/>
      <c r="AN137" s="32"/>
      <c r="AO137" s="53"/>
      <c r="AP137" s="21" t="str">
        <f>IFERROR(VLOOKUP(May[[#This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21" t="str">
        <f>IFERROR(VLOOKUP(May[[#This Row],[Drug Name7]],'Data Options'!$R$1:$S$100,2,FALSE), " ")</f>
        <v xml:space="preserve"> </v>
      </c>
      <c r="AZ137" s="32"/>
      <c r="BA137" s="32"/>
      <c r="BB137" s="53"/>
      <c r="BC137" s="21" t="str">
        <f>IFERROR(VLOOKUP(May[[#This Row],[Drug Name8]],'Data Options'!$R$1:$S$100,2,FALSE), " ")</f>
        <v xml:space="preserve"> </v>
      </c>
      <c r="BD137" s="32"/>
      <c r="BE137" s="32"/>
      <c r="BF137" s="53"/>
      <c r="BG137" s="21" t="str">
        <f>IFERROR(VLOOKUP(May[[#This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21" t="str">
        <f>IFERROR(VLOOKUP(May[[#This Row],[Drug Name]],'Data Options'!$R$1:$S$100,2,FALSE), " ")</f>
        <v xml:space="preserve"> </v>
      </c>
      <c r="R138" s="32"/>
      <c r="S138" s="32"/>
      <c r="T138" s="53"/>
      <c r="U138" s="21" t="str">
        <f>IFERROR(VLOOKUP(May[[#This Row],[Drug Name2]],'Data Options'!$R$1:$S$100,2,FALSE), " ")</f>
        <v xml:space="preserve"> </v>
      </c>
      <c r="V138" s="32"/>
      <c r="W138" s="32"/>
      <c r="X138" s="53"/>
      <c r="Y138" s="21" t="str">
        <f>IFERROR(VLOOKUP(May[[#This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21" t="str">
        <f>IFERROR(VLOOKUP(May[[#This Row],[Drug Name4]],'Data Options'!$R$1:$S$100,2,FALSE), " ")</f>
        <v xml:space="preserve"> </v>
      </c>
      <c r="AI138" s="32"/>
      <c r="AJ138" s="32"/>
      <c r="AK138" s="53"/>
      <c r="AL138" s="21" t="str">
        <f>IFERROR(VLOOKUP(May[[#This Row],[Drug Name5]],'Data Options'!$R$1:$S$100,2,FALSE), " ")</f>
        <v xml:space="preserve"> </v>
      </c>
      <c r="AM138" s="32"/>
      <c r="AN138" s="32"/>
      <c r="AO138" s="53"/>
      <c r="AP138" s="21" t="str">
        <f>IFERROR(VLOOKUP(May[[#This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21" t="str">
        <f>IFERROR(VLOOKUP(May[[#This Row],[Drug Name7]],'Data Options'!$R$1:$S$100,2,FALSE), " ")</f>
        <v xml:space="preserve"> </v>
      </c>
      <c r="AZ138" s="32"/>
      <c r="BA138" s="32"/>
      <c r="BB138" s="53"/>
      <c r="BC138" s="21" t="str">
        <f>IFERROR(VLOOKUP(May[[#This Row],[Drug Name8]],'Data Options'!$R$1:$S$100,2,FALSE), " ")</f>
        <v xml:space="preserve"> </v>
      </c>
      <c r="BD138" s="32"/>
      <c r="BE138" s="32"/>
      <c r="BF138" s="53"/>
      <c r="BG138" s="21" t="str">
        <f>IFERROR(VLOOKUP(May[[#This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21" t="str">
        <f>IFERROR(VLOOKUP(May[[#This Row],[Drug Name]],'Data Options'!$R$1:$S$100,2,FALSE), " ")</f>
        <v xml:space="preserve"> </v>
      </c>
      <c r="R139" s="32"/>
      <c r="S139" s="32"/>
      <c r="T139" s="53"/>
      <c r="U139" s="21" t="str">
        <f>IFERROR(VLOOKUP(May[[#This Row],[Drug Name2]],'Data Options'!$R$1:$S$100,2,FALSE), " ")</f>
        <v xml:space="preserve"> </v>
      </c>
      <c r="V139" s="32"/>
      <c r="W139" s="32"/>
      <c r="X139" s="53"/>
      <c r="Y139" s="21" t="str">
        <f>IFERROR(VLOOKUP(May[[#This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21" t="str">
        <f>IFERROR(VLOOKUP(May[[#This Row],[Drug Name4]],'Data Options'!$R$1:$S$100,2,FALSE), " ")</f>
        <v xml:space="preserve"> </v>
      </c>
      <c r="AI139" s="32"/>
      <c r="AJ139" s="32"/>
      <c r="AK139" s="53"/>
      <c r="AL139" s="21" t="str">
        <f>IFERROR(VLOOKUP(May[[#This Row],[Drug Name5]],'Data Options'!$R$1:$S$100,2,FALSE), " ")</f>
        <v xml:space="preserve"> </v>
      </c>
      <c r="AM139" s="32"/>
      <c r="AN139" s="32"/>
      <c r="AO139" s="53"/>
      <c r="AP139" s="21" t="str">
        <f>IFERROR(VLOOKUP(May[[#This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21" t="str">
        <f>IFERROR(VLOOKUP(May[[#This Row],[Drug Name7]],'Data Options'!$R$1:$S$100,2,FALSE), " ")</f>
        <v xml:space="preserve"> </v>
      </c>
      <c r="AZ139" s="32"/>
      <c r="BA139" s="32"/>
      <c r="BB139" s="53"/>
      <c r="BC139" s="21" t="str">
        <f>IFERROR(VLOOKUP(May[[#This Row],[Drug Name8]],'Data Options'!$R$1:$S$100,2,FALSE), " ")</f>
        <v xml:space="preserve"> </v>
      </c>
      <c r="BD139" s="32"/>
      <c r="BE139" s="32"/>
      <c r="BF139" s="53"/>
      <c r="BG139" s="21" t="str">
        <f>IFERROR(VLOOKUP(May[[#This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21" t="str">
        <f>IFERROR(VLOOKUP(May[[#This Row],[Drug Name]],'Data Options'!$R$1:$S$100,2,FALSE), " ")</f>
        <v xml:space="preserve"> </v>
      </c>
      <c r="R140" s="32"/>
      <c r="S140" s="32"/>
      <c r="T140" s="53"/>
      <c r="U140" s="21" t="str">
        <f>IFERROR(VLOOKUP(May[[#This Row],[Drug Name2]],'Data Options'!$R$1:$S$100,2,FALSE), " ")</f>
        <v xml:space="preserve"> </v>
      </c>
      <c r="V140" s="32"/>
      <c r="W140" s="32"/>
      <c r="X140" s="53"/>
      <c r="Y140" s="21" t="str">
        <f>IFERROR(VLOOKUP(May[[#This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21" t="str">
        <f>IFERROR(VLOOKUP(May[[#This Row],[Drug Name4]],'Data Options'!$R$1:$S$100,2,FALSE), " ")</f>
        <v xml:space="preserve"> </v>
      </c>
      <c r="AI140" s="32"/>
      <c r="AJ140" s="32"/>
      <c r="AK140" s="53"/>
      <c r="AL140" s="21" t="str">
        <f>IFERROR(VLOOKUP(May[[#This Row],[Drug Name5]],'Data Options'!$R$1:$S$100,2,FALSE), " ")</f>
        <v xml:space="preserve"> </v>
      </c>
      <c r="AM140" s="32"/>
      <c r="AN140" s="32"/>
      <c r="AO140" s="53"/>
      <c r="AP140" s="21" t="str">
        <f>IFERROR(VLOOKUP(May[[#This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21" t="str">
        <f>IFERROR(VLOOKUP(May[[#This Row],[Drug Name7]],'Data Options'!$R$1:$S$100,2,FALSE), " ")</f>
        <v xml:space="preserve"> </v>
      </c>
      <c r="AZ140" s="32"/>
      <c r="BA140" s="32"/>
      <c r="BB140" s="53"/>
      <c r="BC140" s="21" t="str">
        <f>IFERROR(VLOOKUP(May[[#This Row],[Drug Name8]],'Data Options'!$R$1:$S$100,2,FALSE), " ")</f>
        <v xml:space="preserve"> </v>
      </c>
      <c r="BD140" s="32"/>
      <c r="BE140" s="32"/>
      <c r="BF140" s="53"/>
      <c r="BG140" s="21" t="str">
        <f>IFERROR(VLOOKUP(May[[#This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21" t="str">
        <f>IFERROR(VLOOKUP(May[[#This Row],[Drug Name]],'Data Options'!$R$1:$S$100,2,FALSE), " ")</f>
        <v xml:space="preserve"> </v>
      </c>
      <c r="R141" s="32"/>
      <c r="S141" s="32"/>
      <c r="T141" s="53"/>
      <c r="U141" s="21" t="str">
        <f>IFERROR(VLOOKUP(May[[#This Row],[Drug Name2]],'Data Options'!$R$1:$S$100,2,FALSE), " ")</f>
        <v xml:space="preserve"> </v>
      </c>
      <c r="V141" s="32"/>
      <c r="W141" s="32"/>
      <c r="X141" s="53"/>
      <c r="Y141" s="21" t="str">
        <f>IFERROR(VLOOKUP(May[[#This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21" t="str">
        <f>IFERROR(VLOOKUP(May[[#This Row],[Drug Name4]],'Data Options'!$R$1:$S$100,2,FALSE), " ")</f>
        <v xml:space="preserve"> </v>
      </c>
      <c r="AI141" s="32"/>
      <c r="AJ141" s="32"/>
      <c r="AK141" s="53"/>
      <c r="AL141" s="21" t="str">
        <f>IFERROR(VLOOKUP(May[[#This Row],[Drug Name5]],'Data Options'!$R$1:$S$100,2,FALSE), " ")</f>
        <v xml:space="preserve"> </v>
      </c>
      <c r="AM141" s="32"/>
      <c r="AN141" s="32"/>
      <c r="AO141" s="53"/>
      <c r="AP141" s="21" t="str">
        <f>IFERROR(VLOOKUP(May[[#This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21" t="str">
        <f>IFERROR(VLOOKUP(May[[#This Row],[Drug Name7]],'Data Options'!$R$1:$S$100,2,FALSE), " ")</f>
        <v xml:space="preserve"> </v>
      </c>
      <c r="AZ141" s="32"/>
      <c r="BA141" s="32"/>
      <c r="BB141" s="53"/>
      <c r="BC141" s="21" t="str">
        <f>IFERROR(VLOOKUP(May[[#This Row],[Drug Name8]],'Data Options'!$R$1:$S$100,2,FALSE), " ")</f>
        <v xml:space="preserve"> </v>
      </c>
      <c r="BD141" s="32"/>
      <c r="BE141" s="32"/>
      <c r="BF141" s="53"/>
      <c r="BG141" s="21" t="str">
        <f>IFERROR(VLOOKUP(May[[#This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21" t="str">
        <f>IFERROR(VLOOKUP(May[[#This Row],[Drug Name]],'Data Options'!$R$1:$S$100,2,FALSE), " ")</f>
        <v xml:space="preserve"> </v>
      </c>
      <c r="R142" s="32"/>
      <c r="S142" s="32"/>
      <c r="T142" s="53"/>
      <c r="U142" s="21" t="str">
        <f>IFERROR(VLOOKUP(May[[#This Row],[Drug Name2]],'Data Options'!$R$1:$S$100,2,FALSE), " ")</f>
        <v xml:space="preserve"> </v>
      </c>
      <c r="V142" s="32"/>
      <c r="W142" s="32"/>
      <c r="X142" s="53"/>
      <c r="Y142" s="21" t="str">
        <f>IFERROR(VLOOKUP(May[[#This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21" t="str">
        <f>IFERROR(VLOOKUP(May[[#This Row],[Drug Name4]],'Data Options'!$R$1:$S$100,2,FALSE), " ")</f>
        <v xml:space="preserve"> </v>
      </c>
      <c r="AI142" s="32"/>
      <c r="AJ142" s="32"/>
      <c r="AK142" s="53"/>
      <c r="AL142" s="21" t="str">
        <f>IFERROR(VLOOKUP(May[[#This Row],[Drug Name5]],'Data Options'!$R$1:$S$100,2,FALSE), " ")</f>
        <v xml:space="preserve"> </v>
      </c>
      <c r="AM142" s="32"/>
      <c r="AN142" s="32"/>
      <c r="AO142" s="53"/>
      <c r="AP142" s="21" t="str">
        <f>IFERROR(VLOOKUP(May[[#This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21" t="str">
        <f>IFERROR(VLOOKUP(May[[#This Row],[Drug Name7]],'Data Options'!$R$1:$S$100,2,FALSE), " ")</f>
        <v xml:space="preserve"> </v>
      </c>
      <c r="AZ142" s="32"/>
      <c r="BA142" s="32"/>
      <c r="BB142" s="53"/>
      <c r="BC142" s="21" t="str">
        <f>IFERROR(VLOOKUP(May[[#This Row],[Drug Name8]],'Data Options'!$R$1:$S$100,2,FALSE), " ")</f>
        <v xml:space="preserve"> </v>
      </c>
      <c r="BD142" s="32"/>
      <c r="BE142" s="32"/>
      <c r="BF142" s="53"/>
      <c r="BG142" s="21" t="str">
        <f>IFERROR(VLOOKUP(May[[#This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21" t="str">
        <f>IFERROR(VLOOKUP(May[[#This Row],[Drug Name]],'Data Options'!$R$1:$S$100,2,FALSE), " ")</f>
        <v xml:space="preserve"> </v>
      </c>
      <c r="R143" s="32"/>
      <c r="S143" s="32"/>
      <c r="T143" s="53"/>
      <c r="U143" s="21" t="str">
        <f>IFERROR(VLOOKUP(May[[#This Row],[Drug Name2]],'Data Options'!$R$1:$S$100,2,FALSE), " ")</f>
        <v xml:space="preserve"> </v>
      </c>
      <c r="V143" s="32"/>
      <c r="W143" s="32"/>
      <c r="X143" s="53"/>
      <c r="Y143" s="21" t="str">
        <f>IFERROR(VLOOKUP(May[[#This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21" t="str">
        <f>IFERROR(VLOOKUP(May[[#This Row],[Drug Name4]],'Data Options'!$R$1:$S$100,2,FALSE), " ")</f>
        <v xml:space="preserve"> </v>
      </c>
      <c r="AI143" s="32"/>
      <c r="AJ143" s="32"/>
      <c r="AK143" s="53"/>
      <c r="AL143" s="21" t="str">
        <f>IFERROR(VLOOKUP(May[[#This Row],[Drug Name5]],'Data Options'!$R$1:$S$100,2,FALSE), " ")</f>
        <v xml:space="preserve"> </v>
      </c>
      <c r="AM143" s="32"/>
      <c r="AN143" s="32"/>
      <c r="AO143" s="53"/>
      <c r="AP143" s="21" t="str">
        <f>IFERROR(VLOOKUP(May[[#This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21" t="str">
        <f>IFERROR(VLOOKUP(May[[#This Row],[Drug Name7]],'Data Options'!$R$1:$S$100,2,FALSE), " ")</f>
        <v xml:space="preserve"> </v>
      </c>
      <c r="AZ143" s="32"/>
      <c r="BA143" s="32"/>
      <c r="BB143" s="53"/>
      <c r="BC143" s="21" t="str">
        <f>IFERROR(VLOOKUP(May[[#This Row],[Drug Name8]],'Data Options'!$R$1:$S$100,2,FALSE), " ")</f>
        <v xml:space="preserve"> </v>
      </c>
      <c r="BD143" s="32"/>
      <c r="BE143" s="32"/>
      <c r="BF143" s="53"/>
      <c r="BG143" s="21" t="str">
        <f>IFERROR(VLOOKUP(May[[#This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21" t="str">
        <f>IFERROR(VLOOKUP(May[[#This Row],[Drug Name]],'Data Options'!$R$1:$S$100,2,FALSE), " ")</f>
        <v xml:space="preserve"> </v>
      </c>
      <c r="R144" s="32"/>
      <c r="S144" s="32"/>
      <c r="T144" s="53"/>
      <c r="U144" s="21" t="str">
        <f>IFERROR(VLOOKUP(May[[#This Row],[Drug Name2]],'Data Options'!$R$1:$S$100,2,FALSE), " ")</f>
        <v xml:space="preserve"> </v>
      </c>
      <c r="V144" s="32"/>
      <c r="W144" s="32"/>
      <c r="X144" s="53"/>
      <c r="Y144" s="21" t="str">
        <f>IFERROR(VLOOKUP(May[[#This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21" t="str">
        <f>IFERROR(VLOOKUP(May[[#This Row],[Drug Name4]],'Data Options'!$R$1:$S$100,2,FALSE), " ")</f>
        <v xml:space="preserve"> </v>
      </c>
      <c r="AI144" s="32"/>
      <c r="AJ144" s="32"/>
      <c r="AK144" s="53"/>
      <c r="AL144" s="21" t="str">
        <f>IFERROR(VLOOKUP(May[[#This Row],[Drug Name5]],'Data Options'!$R$1:$S$100,2,FALSE), " ")</f>
        <v xml:space="preserve"> </v>
      </c>
      <c r="AM144" s="32"/>
      <c r="AN144" s="32"/>
      <c r="AO144" s="53"/>
      <c r="AP144" s="21" t="str">
        <f>IFERROR(VLOOKUP(May[[#This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21" t="str">
        <f>IFERROR(VLOOKUP(May[[#This Row],[Drug Name7]],'Data Options'!$R$1:$S$100,2,FALSE), " ")</f>
        <v xml:space="preserve"> </v>
      </c>
      <c r="AZ144" s="32"/>
      <c r="BA144" s="32"/>
      <c r="BB144" s="53"/>
      <c r="BC144" s="21" t="str">
        <f>IFERROR(VLOOKUP(May[[#This Row],[Drug Name8]],'Data Options'!$R$1:$S$100,2,FALSE), " ")</f>
        <v xml:space="preserve"> </v>
      </c>
      <c r="BD144" s="32"/>
      <c r="BE144" s="32"/>
      <c r="BF144" s="53"/>
      <c r="BG144" s="21" t="str">
        <f>IFERROR(VLOOKUP(May[[#This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21" t="str">
        <f>IFERROR(VLOOKUP(May[[#This Row],[Drug Name]],'Data Options'!$R$1:$S$100,2,FALSE), " ")</f>
        <v xml:space="preserve"> </v>
      </c>
      <c r="R145" s="32"/>
      <c r="S145" s="32"/>
      <c r="T145" s="53"/>
      <c r="U145" s="21" t="str">
        <f>IFERROR(VLOOKUP(May[[#This Row],[Drug Name2]],'Data Options'!$R$1:$S$100,2,FALSE), " ")</f>
        <v xml:space="preserve"> </v>
      </c>
      <c r="V145" s="32"/>
      <c r="W145" s="32"/>
      <c r="X145" s="53"/>
      <c r="Y145" s="21" t="str">
        <f>IFERROR(VLOOKUP(May[[#This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21" t="str">
        <f>IFERROR(VLOOKUP(May[[#This Row],[Drug Name4]],'Data Options'!$R$1:$S$100,2,FALSE), " ")</f>
        <v xml:space="preserve"> </v>
      </c>
      <c r="AI145" s="32"/>
      <c r="AJ145" s="32"/>
      <c r="AK145" s="53"/>
      <c r="AL145" s="21" t="str">
        <f>IFERROR(VLOOKUP(May[[#This Row],[Drug Name5]],'Data Options'!$R$1:$S$100,2,FALSE), " ")</f>
        <v xml:space="preserve"> </v>
      </c>
      <c r="AM145" s="32"/>
      <c r="AN145" s="32"/>
      <c r="AO145" s="53"/>
      <c r="AP145" s="21" t="str">
        <f>IFERROR(VLOOKUP(May[[#This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21" t="str">
        <f>IFERROR(VLOOKUP(May[[#This Row],[Drug Name7]],'Data Options'!$R$1:$S$100,2,FALSE), " ")</f>
        <v xml:space="preserve"> </v>
      </c>
      <c r="AZ145" s="32"/>
      <c r="BA145" s="32"/>
      <c r="BB145" s="53"/>
      <c r="BC145" s="21" t="str">
        <f>IFERROR(VLOOKUP(May[[#This Row],[Drug Name8]],'Data Options'!$R$1:$S$100,2,FALSE), " ")</f>
        <v xml:space="preserve"> </v>
      </c>
      <c r="BD145" s="32"/>
      <c r="BE145" s="32"/>
      <c r="BF145" s="53"/>
      <c r="BG145" s="21" t="str">
        <f>IFERROR(VLOOKUP(May[[#This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21" t="str">
        <f>IFERROR(VLOOKUP(May[[#This Row],[Drug Name]],'Data Options'!$R$1:$S$100,2,FALSE), " ")</f>
        <v xml:space="preserve"> </v>
      </c>
      <c r="R146" s="32"/>
      <c r="S146" s="32"/>
      <c r="T146" s="53"/>
      <c r="U146" s="21" t="str">
        <f>IFERROR(VLOOKUP(May[[#This Row],[Drug Name2]],'Data Options'!$R$1:$S$100,2,FALSE), " ")</f>
        <v xml:space="preserve"> </v>
      </c>
      <c r="V146" s="32"/>
      <c r="W146" s="32"/>
      <c r="X146" s="53"/>
      <c r="Y146" s="21" t="str">
        <f>IFERROR(VLOOKUP(May[[#This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21" t="str">
        <f>IFERROR(VLOOKUP(May[[#This Row],[Drug Name4]],'Data Options'!$R$1:$S$100,2,FALSE), " ")</f>
        <v xml:space="preserve"> </v>
      </c>
      <c r="AI146" s="32"/>
      <c r="AJ146" s="32"/>
      <c r="AK146" s="53"/>
      <c r="AL146" s="21" t="str">
        <f>IFERROR(VLOOKUP(May[[#This Row],[Drug Name5]],'Data Options'!$R$1:$S$100,2,FALSE), " ")</f>
        <v xml:space="preserve"> </v>
      </c>
      <c r="AM146" s="32"/>
      <c r="AN146" s="32"/>
      <c r="AO146" s="53"/>
      <c r="AP146" s="21" t="str">
        <f>IFERROR(VLOOKUP(May[[#This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21" t="str">
        <f>IFERROR(VLOOKUP(May[[#This Row],[Drug Name7]],'Data Options'!$R$1:$S$100,2,FALSE), " ")</f>
        <v xml:space="preserve"> </v>
      </c>
      <c r="AZ146" s="32"/>
      <c r="BA146" s="32"/>
      <c r="BB146" s="53"/>
      <c r="BC146" s="21" t="str">
        <f>IFERROR(VLOOKUP(May[[#This Row],[Drug Name8]],'Data Options'!$R$1:$S$100,2,FALSE), " ")</f>
        <v xml:space="preserve"> </v>
      </c>
      <c r="BD146" s="32"/>
      <c r="BE146" s="32"/>
      <c r="BF146" s="53"/>
      <c r="BG146" s="21" t="str">
        <f>IFERROR(VLOOKUP(May[[#This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21" t="str">
        <f>IFERROR(VLOOKUP(May[[#This Row],[Drug Name]],'Data Options'!$R$1:$S$100,2,FALSE), " ")</f>
        <v xml:space="preserve"> </v>
      </c>
      <c r="R147" s="32"/>
      <c r="S147" s="32"/>
      <c r="T147" s="53"/>
      <c r="U147" s="21" t="str">
        <f>IFERROR(VLOOKUP(May[[#This Row],[Drug Name2]],'Data Options'!$R$1:$S$100,2,FALSE), " ")</f>
        <v xml:space="preserve"> </v>
      </c>
      <c r="V147" s="32"/>
      <c r="W147" s="32"/>
      <c r="X147" s="53"/>
      <c r="Y147" s="21" t="str">
        <f>IFERROR(VLOOKUP(May[[#This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21" t="str">
        <f>IFERROR(VLOOKUP(May[[#This Row],[Drug Name4]],'Data Options'!$R$1:$S$100,2,FALSE), " ")</f>
        <v xml:space="preserve"> </v>
      </c>
      <c r="AI147" s="32"/>
      <c r="AJ147" s="32"/>
      <c r="AK147" s="53"/>
      <c r="AL147" s="21" t="str">
        <f>IFERROR(VLOOKUP(May[[#This Row],[Drug Name5]],'Data Options'!$R$1:$S$100,2,FALSE), " ")</f>
        <v xml:space="preserve"> </v>
      </c>
      <c r="AM147" s="32"/>
      <c r="AN147" s="32"/>
      <c r="AO147" s="53"/>
      <c r="AP147" s="21" t="str">
        <f>IFERROR(VLOOKUP(May[[#This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21" t="str">
        <f>IFERROR(VLOOKUP(May[[#This Row],[Drug Name7]],'Data Options'!$R$1:$S$100,2,FALSE), " ")</f>
        <v xml:space="preserve"> </v>
      </c>
      <c r="AZ147" s="32"/>
      <c r="BA147" s="32"/>
      <c r="BB147" s="53"/>
      <c r="BC147" s="21" t="str">
        <f>IFERROR(VLOOKUP(May[[#This Row],[Drug Name8]],'Data Options'!$R$1:$S$100,2,FALSE), " ")</f>
        <v xml:space="preserve"> </v>
      </c>
      <c r="BD147" s="32"/>
      <c r="BE147" s="32"/>
      <c r="BF147" s="53"/>
      <c r="BG147" s="21" t="str">
        <f>IFERROR(VLOOKUP(May[[#This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21" t="str">
        <f>IFERROR(VLOOKUP(May[[#This Row],[Drug Name]],'Data Options'!$R$1:$S$100,2,FALSE), " ")</f>
        <v xml:space="preserve"> </v>
      </c>
      <c r="R148" s="32"/>
      <c r="S148" s="32"/>
      <c r="T148" s="53"/>
      <c r="U148" s="21" t="str">
        <f>IFERROR(VLOOKUP(May[[#This Row],[Drug Name2]],'Data Options'!$R$1:$S$100,2,FALSE), " ")</f>
        <v xml:space="preserve"> </v>
      </c>
      <c r="V148" s="32"/>
      <c r="W148" s="32"/>
      <c r="X148" s="53"/>
      <c r="Y148" s="21" t="str">
        <f>IFERROR(VLOOKUP(May[[#This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21" t="str">
        <f>IFERROR(VLOOKUP(May[[#This Row],[Drug Name4]],'Data Options'!$R$1:$S$100,2,FALSE), " ")</f>
        <v xml:space="preserve"> </v>
      </c>
      <c r="AI148" s="32"/>
      <c r="AJ148" s="32"/>
      <c r="AK148" s="53"/>
      <c r="AL148" s="21" t="str">
        <f>IFERROR(VLOOKUP(May[[#This Row],[Drug Name5]],'Data Options'!$R$1:$S$100,2,FALSE), " ")</f>
        <v xml:space="preserve"> </v>
      </c>
      <c r="AM148" s="32"/>
      <c r="AN148" s="32"/>
      <c r="AO148" s="53"/>
      <c r="AP148" s="21" t="str">
        <f>IFERROR(VLOOKUP(May[[#This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21" t="str">
        <f>IFERROR(VLOOKUP(May[[#This Row],[Drug Name7]],'Data Options'!$R$1:$S$100,2,FALSE), " ")</f>
        <v xml:space="preserve"> </v>
      </c>
      <c r="AZ148" s="32"/>
      <c r="BA148" s="32"/>
      <c r="BB148" s="53"/>
      <c r="BC148" s="21" t="str">
        <f>IFERROR(VLOOKUP(May[[#This Row],[Drug Name8]],'Data Options'!$R$1:$S$100,2,FALSE), " ")</f>
        <v xml:space="preserve"> </v>
      </c>
      <c r="BD148" s="32"/>
      <c r="BE148" s="32"/>
      <c r="BF148" s="53"/>
      <c r="BG148" s="21" t="str">
        <f>IFERROR(VLOOKUP(May[[#This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21" t="str">
        <f>IFERROR(VLOOKUP(May[[#This Row],[Drug Name]],'Data Options'!$R$1:$S$100,2,FALSE), " ")</f>
        <v xml:space="preserve"> </v>
      </c>
      <c r="R149" s="32"/>
      <c r="S149" s="32"/>
      <c r="T149" s="53"/>
      <c r="U149" s="21" t="str">
        <f>IFERROR(VLOOKUP(May[[#This Row],[Drug Name2]],'Data Options'!$R$1:$S$100,2,FALSE), " ")</f>
        <v xml:space="preserve"> </v>
      </c>
      <c r="V149" s="32"/>
      <c r="W149" s="32"/>
      <c r="X149" s="53"/>
      <c r="Y149" s="21" t="str">
        <f>IFERROR(VLOOKUP(May[[#This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21" t="str">
        <f>IFERROR(VLOOKUP(May[[#This Row],[Drug Name4]],'Data Options'!$R$1:$S$100,2,FALSE), " ")</f>
        <v xml:space="preserve"> </v>
      </c>
      <c r="AI149" s="32"/>
      <c r="AJ149" s="32"/>
      <c r="AK149" s="53"/>
      <c r="AL149" s="21" t="str">
        <f>IFERROR(VLOOKUP(May[[#This Row],[Drug Name5]],'Data Options'!$R$1:$S$100,2,FALSE), " ")</f>
        <v xml:space="preserve"> </v>
      </c>
      <c r="AM149" s="32"/>
      <c r="AN149" s="32"/>
      <c r="AO149" s="53"/>
      <c r="AP149" s="21" t="str">
        <f>IFERROR(VLOOKUP(May[[#This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21" t="str">
        <f>IFERROR(VLOOKUP(May[[#This Row],[Drug Name7]],'Data Options'!$R$1:$S$100,2,FALSE), " ")</f>
        <v xml:space="preserve"> </v>
      </c>
      <c r="AZ149" s="32"/>
      <c r="BA149" s="32"/>
      <c r="BB149" s="53"/>
      <c r="BC149" s="21" t="str">
        <f>IFERROR(VLOOKUP(May[[#This Row],[Drug Name8]],'Data Options'!$R$1:$S$100,2,FALSE), " ")</f>
        <v xml:space="preserve"> </v>
      </c>
      <c r="BD149" s="32"/>
      <c r="BE149" s="32"/>
      <c r="BF149" s="53"/>
      <c r="BG149" s="21" t="str">
        <f>IFERROR(VLOOKUP(May[[#This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21" t="str">
        <f>IFERROR(VLOOKUP(May[[#This Row],[Drug Name]],'Data Options'!$R$1:$S$100,2,FALSE), " ")</f>
        <v xml:space="preserve"> </v>
      </c>
      <c r="R150" s="32"/>
      <c r="S150" s="32"/>
      <c r="T150" s="53"/>
      <c r="U150" s="21" t="str">
        <f>IFERROR(VLOOKUP(May[[#This Row],[Drug Name2]],'Data Options'!$R$1:$S$100,2,FALSE), " ")</f>
        <v xml:space="preserve"> </v>
      </c>
      <c r="V150" s="32"/>
      <c r="W150" s="32"/>
      <c r="X150" s="53"/>
      <c r="Y150" s="21" t="str">
        <f>IFERROR(VLOOKUP(May[[#This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21" t="str">
        <f>IFERROR(VLOOKUP(May[[#This Row],[Drug Name4]],'Data Options'!$R$1:$S$100,2,FALSE), " ")</f>
        <v xml:space="preserve"> </v>
      </c>
      <c r="AI150" s="32"/>
      <c r="AJ150" s="32"/>
      <c r="AK150" s="53"/>
      <c r="AL150" s="21" t="str">
        <f>IFERROR(VLOOKUP(May[[#This Row],[Drug Name5]],'Data Options'!$R$1:$S$100,2,FALSE), " ")</f>
        <v xml:space="preserve"> </v>
      </c>
      <c r="AM150" s="32"/>
      <c r="AN150" s="32"/>
      <c r="AO150" s="53"/>
      <c r="AP150" s="21" t="str">
        <f>IFERROR(VLOOKUP(May[[#This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21" t="str">
        <f>IFERROR(VLOOKUP(May[[#This Row],[Drug Name7]],'Data Options'!$R$1:$S$100,2,FALSE), " ")</f>
        <v xml:space="preserve"> </v>
      </c>
      <c r="AZ150" s="32"/>
      <c r="BA150" s="32"/>
      <c r="BB150" s="53"/>
      <c r="BC150" s="21" t="str">
        <f>IFERROR(VLOOKUP(May[[#This Row],[Drug Name8]],'Data Options'!$R$1:$S$100,2,FALSE), " ")</f>
        <v xml:space="preserve"> </v>
      </c>
      <c r="BD150" s="32"/>
      <c r="BE150" s="32"/>
      <c r="BF150" s="53"/>
      <c r="BG150" s="21" t="str">
        <f>IFERROR(VLOOKUP(May[[#This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21" t="str">
        <f>IFERROR(VLOOKUP(May[[#This Row],[Drug Name]],'Data Options'!$R$1:$S$100,2,FALSE), " ")</f>
        <v xml:space="preserve"> </v>
      </c>
      <c r="R151" s="32"/>
      <c r="S151" s="32"/>
      <c r="T151" s="53"/>
      <c r="U151" s="21" t="str">
        <f>IFERROR(VLOOKUP(May[[#This Row],[Drug Name2]],'Data Options'!$R$1:$S$100,2,FALSE), " ")</f>
        <v xml:space="preserve"> </v>
      </c>
      <c r="V151" s="32"/>
      <c r="W151" s="32"/>
      <c r="X151" s="53"/>
      <c r="Y151" s="21" t="str">
        <f>IFERROR(VLOOKUP(May[[#This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21" t="str">
        <f>IFERROR(VLOOKUP(May[[#This Row],[Drug Name4]],'Data Options'!$R$1:$S$100,2,FALSE), " ")</f>
        <v xml:space="preserve"> </v>
      </c>
      <c r="AI151" s="32"/>
      <c r="AJ151" s="32"/>
      <c r="AK151" s="53"/>
      <c r="AL151" s="21" t="str">
        <f>IFERROR(VLOOKUP(May[[#This Row],[Drug Name5]],'Data Options'!$R$1:$S$100,2,FALSE), " ")</f>
        <v xml:space="preserve"> </v>
      </c>
      <c r="AM151" s="32"/>
      <c r="AN151" s="32"/>
      <c r="AO151" s="53"/>
      <c r="AP151" s="21" t="str">
        <f>IFERROR(VLOOKUP(May[[#This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21" t="str">
        <f>IFERROR(VLOOKUP(May[[#This Row],[Drug Name7]],'Data Options'!$R$1:$S$100,2,FALSE), " ")</f>
        <v xml:space="preserve"> </v>
      </c>
      <c r="AZ151" s="32"/>
      <c r="BA151" s="32"/>
      <c r="BB151" s="53"/>
      <c r="BC151" s="21" t="str">
        <f>IFERROR(VLOOKUP(May[[#This Row],[Drug Name8]],'Data Options'!$R$1:$S$100,2,FALSE), " ")</f>
        <v xml:space="preserve"> </v>
      </c>
      <c r="BD151" s="32"/>
      <c r="BE151" s="32"/>
      <c r="BF151" s="53"/>
      <c r="BG151" s="21" t="str">
        <f>IFERROR(VLOOKUP(May[[#This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21" t="str">
        <f>IFERROR(VLOOKUP(May[[#This Row],[Drug Name]],'Data Options'!$R$1:$S$100,2,FALSE), " ")</f>
        <v xml:space="preserve"> </v>
      </c>
      <c r="R152" s="32"/>
      <c r="S152" s="32"/>
      <c r="T152" s="53"/>
      <c r="U152" s="21" t="str">
        <f>IFERROR(VLOOKUP(May[[#This Row],[Drug Name2]],'Data Options'!$R$1:$S$100,2,FALSE), " ")</f>
        <v xml:space="preserve"> </v>
      </c>
      <c r="V152" s="32"/>
      <c r="W152" s="32"/>
      <c r="X152" s="53"/>
      <c r="Y152" s="21" t="str">
        <f>IFERROR(VLOOKUP(May[[#This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21" t="str">
        <f>IFERROR(VLOOKUP(May[[#This Row],[Drug Name4]],'Data Options'!$R$1:$S$100,2,FALSE), " ")</f>
        <v xml:space="preserve"> </v>
      </c>
      <c r="AI152" s="32"/>
      <c r="AJ152" s="32"/>
      <c r="AK152" s="53"/>
      <c r="AL152" s="21" t="str">
        <f>IFERROR(VLOOKUP(May[[#This Row],[Drug Name5]],'Data Options'!$R$1:$S$100,2,FALSE), " ")</f>
        <v xml:space="preserve"> </v>
      </c>
      <c r="AM152" s="32"/>
      <c r="AN152" s="32"/>
      <c r="AO152" s="53"/>
      <c r="AP152" s="21" t="str">
        <f>IFERROR(VLOOKUP(May[[#This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21" t="str">
        <f>IFERROR(VLOOKUP(May[[#This Row],[Drug Name7]],'Data Options'!$R$1:$S$100,2,FALSE), " ")</f>
        <v xml:space="preserve"> </v>
      </c>
      <c r="AZ152" s="32"/>
      <c r="BA152" s="32"/>
      <c r="BB152" s="53"/>
      <c r="BC152" s="21" t="str">
        <f>IFERROR(VLOOKUP(May[[#This Row],[Drug Name8]],'Data Options'!$R$1:$S$100,2,FALSE), " ")</f>
        <v xml:space="preserve"> </v>
      </c>
      <c r="BD152" s="32"/>
      <c r="BE152" s="32"/>
      <c r="BF152" s="53"/>
      <c r="BG152" s="21" t="str">
        <f>IFERROR(VLOOKUP(May[[#This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21" t="str">
        <f>IFERROR(VLOOKUP(May[[#This Row],[Drug Name]],'Data Options'!$R$1:$S$100,2,FALSE), " ")</f>
        <v xml:space="preserve"> </v>
      </c>
      <c r="R153" s="32"/>
      <c r="S153" s="32"/>
      <c r="T153" s="53"/>
      <c r="U153" s="21" t="str">
        <f>IFERROR(VLOOKUP(May[[#This Row],[Drug Name2]],'Data Options'!$R$1:$S$100,2,FALSE), " ")</f>
        <v xml:space="preserve"> </v>
      </c>
      <c r="V153" s="32"/>
      <c r="W153" s="32"/>
      <c r="X153" s="53"/>
      <c r="Y153" s="21" t="str">
        <f>IFERROR(VLOOKUP(May[[#This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21" t="str">
        <f>IFERROR(VLOOKUP(May[[#This Row],[Drug Name4]],'Data Options'!$R$1:$S$100,2,FALSE), " ")</f>
        <v xml:space="preserve"> </v>
      </c>
      <c r="AI153" s="32"/>
      <c r="AJ153" s="32"/>
      <c r="AK153" s="53"/>
      <c r="AL153" s="21" t="str">
        <f>IFERROR(VLOOKUP(May[[#This Row],[Drug Name5]],'Data Options'!$R$1:$S$100,2,FALSE), " ")</f>
        <v xml:space="preserve"> </v>
      </c>
      <c r="AM153" s="32"/>
      <c r="AN153" s="32"/>
      <c r="AO153" s="53"/>
      <c r="AP153" s="21" t="str">
        <f>IFERROR(VLOOKUP(May[[#This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21" t="str">
        <f>IFERROR(VLOOKUP(May[[#This Row],[Drug Name7]],'Data Options'!$R$1:$S$100,2,FALSE), " ")</f>
        <v xml:space="preserve"> </v>
      </c>
      <c r="AZ153" s="32"/>
      <c r="BA153" s="32"/>
      <c r="BB153" s="53"/>
      <c r="BC153" s="21" t="str">
        <f>IFERROR(VLOOKUP(May[[#This Row],[Drug Name8]],'Data Options'!$R$1:$S$100,2,FALSE), " ")</f>
        <v xml:space="preserve"> </v>
      </c>
      <c r="BD153" s="32"/>
      <c r="BE153" s="32"/>
      <c r="BF153" s="53"/>
      <c r="BG153" s="21" t="str">
        <f>IFERROR(VLOOKUP(May[[#This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21" t="str">
        <f>IFERROR(VLOOKUP(May[[#This Row],[Drug Name]],'Data Options'!$R$1:$S$100,2,FALSE), " ")</f>
        <v xml:space="preserve"> </v>
      </c>
      <c r="R154" s="32"/>
      <c r="S154" s="32"/>
      <c r="T154" s="53"/>
      <c r="U154" s="21" t="str">
        <f>IFERROR(VLOOKUP(May[[#This Row],[Drug Name2]],'Data Options'!$R$1:$S$100,2,FALSE), " ")</f>
        <v xml:space="preserve"> </v>
      </c>
      <c r="V154" s="32"/>
      <c r="W154" s="32"/>
      <c r="X154" s="53"/>
      <c r="Y154" s="21" t="str">
        <f>IFERROR(VLOOKUP(May[[#This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21" t="str">
        <f>IFERROR(VLOOKUP(May[[#This Row],[Drug Name4]],'Data Options'!$R$1:$S$100,2,FALSE), " ")</f>
        <v xml:space="preserve"> </v>
      </c>
      <c r="AI154" s="32"/>
      <c r="AJ154" s="32"/>
      <c r="AK154" s="53"/>
      <c r="AL154" s="21" t="str">
        <f>IFERROR(VLOOKUP(May[[#This Row],[Drug Name5]],'Data Options'!$R$1:$S$100,2,FALSE), " ")</f>
        <v xml:space="preserve"> </v>
      </c>
      <c r="AM154" s="32"/>
      <c r="AN154" s="32"/>
      <c r="AO154" s="53"/>
      <c r="AP154" s="21" t="str">
        <f>IFERROR(VLOOKUP(May[[#This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21" t="str">
        <f>IFERROR(VLOOKUP(May[[#This Row],[Drug Name7]],'Data Options'!$R$1:$S$100,2,FALSE), " ")</f>
        <v xml:space="preserve"> </v>
      </c>
      <c r="AZ154" s="32"/>
      <c r="BA154" s="32"/>
      <c r="BB154" s="53"/>
      <c r="BC154" s="21" t="str">
        <f>IFERROR(VLOOKUP(May[[#This Row],[Drug Name8]],'Data Options'!$R$1:$S$100,2,FALSE), " ")</f>
        <v xml:space="preserve"> </v>
      </c>
      <c r="BD154" s="32"/>
      <c r="BE154" s="32"/>
      <c r="BF154" s="53"/>
      <c r="BG154" s="21" t="str">
        <f>IFERROR(VLOOKUP(May[[#This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21" t="str">
        <f>IFERROR(VLOOKUP(May[[#This Row],[Drug Name]],'Data Options'!$R$1:$S$100,2,FALSE), " ")</f>
        <v xml:space="preserve"> </v>
      </c>
      <c r="R155" s="32"/>
      <c r="S155" s="32"/>
      <c r="T155" s="53"/>
      <c r="U155" s="21" t="str">
        <f>IFERROR(VLOOKUP(May[[#This Row],[Drug Name2]],'Data Options'!$R$1:$S$100,2,FALSE), " ")</f>
        <v xml:space="preserve"> </v>
      </c>
      <c r="V155" s="32"/>
      <c r="W155" s="32"/>
      <c r="X155" s="53"/>
      <c r="Y155" s="21" t="str">
        <f>IFERROR(VLOOKUP(May[[#This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21" t="str">
        <f>IFERROR(VLOOKUP(May[[#This Row],[Drug Name4]],'Data Options'!$R$1:$S$100,2,FALSE), " ")</f>
        <v xml:space="preserve"> </v>
      </c>
      <c r="AI155" s="32"/>
      <c r="AJ155" s="32"/>
      <c r="AK155" s="53"/>
      <c r="AL155" s="21" t="str">
        <f>IFERROR(VLOOKUP(May[[#This Row],[Drug Name5]],'Data Options'!$R$1:$S$100,2,FALSE), " ")</f>
        <v xml:space="preserve"> </v>
      </c>
      <c r="AM155" s="32"/>
      <c r="AN155" s="32"/>
      <c r="AO155" s="53"/>
      <c r="AP155" s="21" t="str">
        <f>IFERROR(VLOOKUP(May[[#This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21" t="str">
        <f>IFERROR(VLOOKUP(May[[#This Row],[Drug Name7]],'Data Options'!$R$1:$S$100,2,FALSE), " ")</f>
        <v xml:space="preserve"> </v>
      </c>
      <c r="AZ155" s="32"/>
      <c r="BA155" s="32"/>
      <c r="BB155" s="53"/>
      <c r="BC155" s="21" t="str">
        <f>IFERROR(VLOOKUP(May[[#This Row],[Drug Name8]],'Data Options'!$R$1:$S$100,2,FALSE), " ")</f>
        <v xml:space="preserve"> </v>
      </c>
      <c r="BD155" s="32"/>
      <c r="BE155" s="32"/>
      <c r="BF155" s="53"/>
      <c r="BG155" s="21" t="str">
        <f>IFERROR(VLOOKUP(May[[#This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21" t="str">
        <f>IFERROR(VLOOKUP(May[[#This Row],[Drug Name]],'Data Options'!$R$1:$S$100,2,FALSE), " ")</f>
        <v xml:space="preserve"> </v>
      </c>
      <c r="R156" s="32"/>
      <c r="S156" s="32"/>
      <c r="T156" s="53"/>
      <c r="U156" s="21" t="str">
        <f>IFERROR(VLOOKUP(May[[#This Row],[Drug Name2]],'Data Options'!$R$1:$S$100,2,FALSE), " ")</f>
        <v xml:space="preserve"> </v>
      </c>
      <c r="V156" s="32"/>
      <c r="W156" s="32"/>
      <c r="X156" s="53"/>
      <c r="Y156" s="21" t="str">
        <f>IFERROR(VLOOKUP(May[[#This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21" t="str">
        <f>IFERROR(VLOOKUP(May[[#This Row],[Drug Name4]],'Data Options'!$R$1:$S$100,2,FALSE), " ")</f>
        <v xml:space="preserve"> </v>
      </c>
      <c r="AI156" s="32"/>
      <c r="AJ156" s="32"/>
      <c r="AK156" s="53"/>
      <c r="AL156" s="21" t="str">
        <f>IFERROR(VLOOKUP(May[[#This Row],[Drug Name5]],'Data Options'!$R$1:$S$100,2,FALSE), " ")</f>
        <v xml:space="preserve"> </v>
      </c>
      <c r="AM156" s="32"/>
      <c r="AN156" s="32"/>
      <c r="AO156" s="53"/>
      <c r="AP156" s="21" t="str">
        <f>IFERROR(VLOOKUP(May[[#This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21" t="str">
        <f>IFERROR(VLOOKUP(May[[#This Row],[Drug Name7]],'Data Options'!$R$1:$S$100,2,FALSE), " ")</f>
        <v xml:space="preserve"> </v>
      </c>
      <c r="AZ156" s="32"/>
      <c r="BA156" s="32"/>
      <c r="BB156" s="53"/>
      <c r="BC156" s="21" t="str">
        <f>IFERROR(VLOOKUP(May[[#This Row],[Drug Name8]],'Data Options'!$R$1:$S$100,2,FALSE), " ")</f>
        <v xml:space="preserve"> </v>
      </c>
      <c r="BD156" s="32"/>
      <c r="BE156" s="32"/>
      <c r="BF156" s="53"/>
      <c r="BG156" s="21" t="str">
        <f>IFERROR(VLOOKUP(May[[#This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21" t="str">
        <f>IFERROR(VLOOKUP(May[[#This Row],[Drug Name]],'Data Options'!$R$1:$S$100,2,FALSE), " ")</f>
        <v xml:space="preserve"> </v>
      </c>
      <c r="R157" s="32"/>
      <c r="S157" s="32"/>
      <c r="T157" s="53"/>
      <c r="U157" s="21" t="str">
        <f>IFERROR(VLOOKUP(May[[#This Row],[Drug Name2]],'Data Options'!$R$1:$S$100,2,FALSE), " ")</f>
        <v xml:space="preserve"> </v>
      </c>
      <c r="V157" s="32"/>
      <c r="W157" s="32"/>
      <c r="X157" s="53"/>
      <c r="Y157" s="21" t="str">
        <f>IFERROR(VLOOKUP(May[[#This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21" t="str">
        <f>IFERROR(VLOOKUP(May[[#This Row],[Drug Name4]],'Data Options'!$R$1:$S$100,2,FALSE), " ")</f>
        <v xml:space="preserve"> </v>
      </c>
      <c r="AI157" s="32"/>
      <c r="AJ157" s="32"/>
      <c r="AK157" s="53"/>
      <c r="AL157" s="21" t="str">
        <f>IFERROR(VLOOKUP(May[[#This Row],[Drug Name5]],'Data Options'!$R$1:$S$100,2,FALSE), " ")</f>
        <v xml:space="preserve"> </v>
      </c>
      <c r="AM157" s="32"/>
      <c r="AN157" s="32"/>
      <c r="AO157" s="53"/>
      <c r="AP157" s="21" t="str">
        <f>IFERROR(VLOOKUP(May[[#This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21" t="str">
        <f>IFERROR(VLOOKUP(May[[#This Row],[Drug Name7]],'Data Options'!$R$1:$S$100,2,FALSE), " ")</f>
        <v xml:space="preserve"> </v>
      </c>
      <c r="AZ157" s="32"/>
      <c r="BA157" s="32"/>
      <c r="BB157" s="53"/>
      <c r="BC157" s="21" t="str">
        <f>IFERROR(VLOOKUP(May[[#This Row],[Drug Name8]],'Data Options'!$R$1:$S$100,2,FALSE), " ")</f>
        <v xml:space="preserve"> </v>
      </c>
      <c r="BD157" s="32"/>
      <c r="BE157" s="32"/>
      <c r="BF157" s="53"/>
      <c r="BG157" s="21" t="str">
        <f>IFERROR(VLOOKUP(May[[#This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21" t="str">
        <f>IFERROR(VLOOKUP(May[[#This Row],[Drug Name]],'Data Options'!$R$1:$S$100,2,FALSE), " ")</f>
        <v xml:space="preserve"> </v>
      </c>
      <c r="R158" s="32"/>
      <c r="S158" s="32"/>
      <c r="T158" s="53"/>
      <c r="U158" s="21" t="str">
        <f>IFERROR(VLOOKUP(May[[#This Row],[Drug Name2]],'Data Options'!$R$1:$S$100,2,FALSE), " ")</f>
        <v xml:space="preserve"> </v>
      </c>
      <c r="V158" s="32"/>
      <c r="W158" s="32"/>
      <c r="X158" s="53"/>
      <c r="Y158" s="21" t="str">
        <f>IFERROR(VLOOKUP(May[[#This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21" t="str">
        <f>IFERROR(VLOOKUP(May[[#This Row],[Drug Name4]],'Data Options'!$R$1:$S$100,2,FALSE), " ")</f>
        <v xml:space="preserve"> </v>
      </c>
      <c r="AI158" s="32"/>
      <c r="AJ158" s="32"/>
      <c r="AK158" s="53"/>
      <c r="AL158" s="21" t="str">
        <f>IFERROR(VLOOKUP(May[[#This Row],[Drug Name5]],'Data Options'!$R$1:$S$100,2,FALSE), " ")</f>
        <v xml:space="preserve"> </v>
      </c>
      <c r="AM158" s="32"/>
      <c r="AN158" s="32"/>
      <c r="AO158" s="53"/>
      <c r="AP158" s="21" t="str">
        <f>IFERROR(VLOOKUP(May[[#This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21" t="str">
        <f>IFERROR(VLOOKUP(May[[#This Row],[Drug Name7]],'Data Options'!$R$1:$S$100,2,FALSE), " ")</f>
        <v xml:space="preserve"> </v>
      </c>
      <c r="AZ158" s="32"/>
      <c r="BA158" s="32"/>
      <c r="BB158" s="53"/>
      <c r="BC158" s="21" t="str">
        <f>IFERROR(VLOOKUP(May[[#This Row],[Drug Name8]],'Data Options'!$R$1:$S$100,2,FALSE), " ")</f>
        <v xml:space="preserve"> </v>
      </c>
      <c r="BD158" s="32"/>
      <c r="BE158" s="32"/>
      <c r="BF158" s="53"/>
      <c r="BG158" s="21" t="str">
        <f>IFERROR(VLOOKUP(May[[#This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21" t="str">
        <f>IFERROR(VLOOKUP(May[[#This Row],[Drug Name]],'Data Options'!$R$1:$S$100,2,FALSE), " ")</f>
        <v xml:space="preserve"> </v>
      </c>
      <c r="R159" s="32"/>
      <c r="S159" s="32"/>
      <c r="T159" s="53"/>
      <c r="U159" s="21" t="str">
        <f>IFERROR(VLOOKUP(May[[#This Row],[Drug Name2]],'Data Options'!$R$1:$S$100,2,FALSE), " ")</f>
        <v xml:space="preserve"> </v>
      </c>
      <c r="V159" s="32"/>
      <c r="W159" s="32"/>
      <c r="X159" s="53"/>
      <c r="Y159" s="21" t="str">
        <f>IFERROR(VLOOKUP(May[[#This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21" t="str">
        <f>IFERROR(VLOOKUP(May[[#This Row],[Drug Name4]],'Data Options'!$R$1:$S$100,2,FALSE), " ")</f>
        <v xml:space="preserve"> </v>
      </c>
      <c r="AI159" s="32"/>
      <c r="AJ159" s="32"/>
      <c r="AK159" s="53"/>
      <c r="AL159" s="21" t="str">
        <f>IFERROR(VLOOKUP(May[[#This Row],[Drug Name5]],'Data Options'!$R$1:$S$100,2,FALSE), " ")</f>
        <v xml:space="preserve"> </v>
      </c>
      <c r="AM159" s="32"/>
      <c r="AN159" s="32"/>
      <c r="AO159" s="53"/>
      <c r="AP159" s="21" t="str">
        <f>IFERROR(VLOOKUP(May[[#This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21" t="str">
        <f>IFERROR(VLOOKUP(May[[#This Row],[Drug Name7]],'Data Options'!$R$1:$S$100,2,FALSE), " ")</f>
        <v xml:space="preserve"> </v>
      </c>
      <c r="AZ159" s="32"/>
      <c r="BA159" s="32"/>
      <c r="BB159" s="53"/>
      <c r="BC159" s="21" t="str">
        <f>IFERROR(VLOOKUP(May[[#This Row],[Drug Name8]],'Data Options'!$R$1:$S$100,2,FALSE), " ")</f>
        <v xml:space="preserve"> </v>
      </c>
      <c r="BD159" s="32"/>
      <c r="BE159" s="32"/>
      <c r="BF159" s="53"/>
      <c r="BG159" s="21" t="str">
        <f>IFERROR(VLOOKUP(May[[#This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21" t="str">
        <f>IFERROR(VLOOKUP(May[[#This Row],[Drug Name]],'Data Options'!$R$1:$S$100,2,FALSE), " ")</f>
        <v xml:space="preserve"> </v>
      </c>
      <c r="R160" s="32"/>
      <c r="S160" s="32"/>
      <c r="T160" s="53"/>
      <c r="U160" s="21" t="str">
        <f>IFERROR(VLOOKUP(May[[#This Row],[Drug Name2]],'Data Options'!$R$1:$S$100,2,FALSE), " ")</f>
        <v xml:space="preserve"> </v>
      </c>
      <c r="V160" s="32"/>
      <c r="W160" s="32"/>
      <c r="X160" s="53"/>
      <c r="Y160" s="21" t="str">
        <f>IFERROR(VLOOKUP(May[[#This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21" t="str">
        <f>IFERROR(VLOOKUP(May[[#This Row],[Drug Name4]],'Data Options'!$R$1:$S$100,2,FALSE), " ")</f>
        <v xml:space="preserve"> </v>
      </c>
      <c r="AI160" s="32"/>
      <c r="AJ160" s="32"/>
      <c r="AK160" s="53"/>
      <c r="AL160" s="21" t="str">
        <f>IFERROR(VLOOKUP(May[[#This Row],[Drug Name5]],'Data Options'!$R$1:$S$100,2,FALSE), " ")</f>
        <v xml:space="preserve"> </v>
      </c>
      <c r="AM160" s="32"/>
      <c r="AN160" s="32"/>
      <c r="AO160" s="53"/>
      <c r="AP160" s="21" t="str">
        <f>IFERROR(VLOOKUP(May[[#This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21" t="str">
        <f>IFERROR(VLOOKUP(May[[#This Row],[Drug Name7]],'Data Options'!$R$1:$S$100,2,FALSE), " ")</f>
        <v xml:space="preserve"> </v>
      </c>
      <c r="AZ160" s="32"/>
      <c r="BA160" s="32"/>
      <c r="BB160" s="53"/>
      <c r="BC160" s="21" t="str">
        <f>IFERROR(VLOOKUP(May[[#This Row],[Drug Name8]],'Data Options'!$R$1:$S$100,2,FALSE), " ")</f>
        <v xml:space="preserve"> </v>
      </c>
      <c r="BD160" s="32"/>
      <c r="BE160" s="32"/>
      <c r="BF160" s="53"/>
      <c r="BG160" s="21" t="str">
        <f>IFERROR(VLOOKUP(May[[#This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21" t="str">
        <f>IFERROR(VLOOKUP(May[[#This Row],[Drug Name]],'Data Options'!$R$1:$S$100,2,FALSE), " ")</f>
        <v xml:space="preserve"> </v>
      </c>
      <c r="R161" s="32"/>
      <c r="S161" s="32"/>
      <c r="T161" s="53"/>
      <c r="U161" s="21" t="str">
        <f>IFERROR(VLOOKUP(May[[#This Row],[Drug Name2]],'Data Options'!$R$1:$S$100,2,FALSE), " ")</f>
        <v xml:space="preserve"> </v>
      </c>
      <c r="V161" s="32"/>
      <c r="W161" s="32"/>
      <c r="X161" s="53"/>
      <c r="Y161" s="21" t="str">
        <f>IFERROR(VLOOKUP(May[[#This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21" t="str">
        <f>IFERROR(VLOOKUP(May[[#This Row],[Drug Name4]],'Data Options'!$R$1:$S$100,2,FALSE), " ")</f>
        <v xml:space="preserve"> </v>
      </c>
      <c r="AI161" s="32"/>
      <c r="AJ161" s="32"/>
      <c r="AK161" s="53"/>
      <c r="AL161" s="21" t="str">
        <f>IFERROR(VLOOKUP(May[[#This Row],[Drug Name5]],'Data Options'!$R$1:$S$100,2,FALSE), " ")</f>
        <v xml:space="preserve"> </v>
      </c>
      <c r="AM161" s="32"/>
      <c r="AN161" s="32"/>
      <c r="AO161" s="53"/>
      <c r="AP161" s="21" t="str">
        <f>IFERROR(VLOOKUP(May[[#This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21" t="str">
        <f>IFERROR(VLOOKUP(May[[#This Row],[Drug Name7]],'Data Options'!$R$1:$S$100,2,FALSE), " ")</f>
        <v xml:space="preserve"> </v>
      </c>
      <c r="AZ161" s="32"/>
      <c r="BA161" s="32"/>
      <c r="BB161" s="53"/>
      <c r="BC161" s="21" t="str">
        <f>IFERROR(VLOOKUP(May[[#This Row],[Drug Name8]],'Data Options'!$R$1:$S$100,2,FALSE), " ")</f>
        <v xml:space="preserve"> </v>
      </c>
      <c r="BD161" s="32"/>
      <c r="BE161" s="32"/>
      <c r="BF161" s="53"/>
      <c r="BG161" s="21" t="str">
        <f>IFERROR(VLOOKUP(May[[#This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21" t="str">
        <f>IFERROR(VLOOKUP(May[[#This Row],[Drug Name]],'Data Options'!$R$1:$S$100,2,FALSE), " ")</f>
        <v xml:space="preserve"> </v>
      </c>
      <c r="R162" s="32"/>
      <c r="S162" s="32"/>
      <c r="T162" s="53"/>
      <c r="U162" s="21" t="str">
        <f>IFERROR(VLOOKUP(May[[#This Row],[Drug Name2]],'Data Options'!$R$1:$S$100,2,FALSE), " ")</f>
        <v xml:space="preserve"> </v>
      </c>
      <c r="V162" s="32"/>
      <c r="W162" s="32"/>
      <c r="X162" s="53"/>
      <c r="Y162" s="21" t="str">
        <f>IFERROR(VLOOKUP(May[[#This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21" t="str">
        <f>IFERROR(VLOOKUP(May[[#This Row],[Drug Name4]],'Data Options'!$R$1:$S$100,2,FALSE), " ")</f>
        <v xml:space="preserve"> </v>
      </c>
      <c r="AI162" s="32"/>
      <c r="AJ162" s="32"/>
      <c r="AK162" s="53"/>
      <c r="AL162" s="21" t="str">
        <f>IFERROR(VLOOKUP(May[[#This Row],[Drug Name5]],'Data Options'!$R$1:$S$100,2,FALSE), " ")</f>
        <v xml:space="preserve"> </v>
      </c>
      <c r="AM162" s="32"/>
      <c r="AN162" s="32"/>
      <c r="AO162" s="53"/>
      <c r="AP162" s="21" t="str">
        <f>IFERROR(VLOOKUP(May[[#This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21" t="str">
        <f>IFERROR(VLOOKUP(May[[#This Row],[Drug Name7]],'Data Options'!$R$1:$S$100,2,FALSE), " ")</f>
        <v xml:space="preserve"> </v>
      </c>
      <c r="AZ162" s="32"/>
      <c r="BA162" s="32"/>
      <c r="BB162" s="53"/>
      <c r="BC162" s="21" t="str">
        <f>IFERROR(VLOOKUP(May[[#This Row],[Drug Name8]],'Data Options'!$R$1:$S$100,2,FALSE), " ")</f>
        <v xml:space="preserve"> </v>
      </c>
      <c r="BD162" s="32"/>
      <c r="BE162" s="32"/>
      <c r="BF162" s="53"/>
      <c r="BG162" s="21" t="str">
        <f>IFERROR(VLOOKUP(May[[#This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21" t="str">
        <f>IFERROR(VLOOKUP(May[[#This Row],[Drug Name]],'Data Options'!$R$1:$S$100,2,FALSE), " ")</f>
        <v xml:space="preserve"> </v>
      </c>
      <c r="R163" s="32"/>
      <c r="S163" s="32"/>
      <c r="T163" s="53"/>
      <c r="U163" s="21" t="str">
        <f>IFERROR(VLOOKUP(May[[#This Row],[Drug Name2]],'Data Options'!$R$1:$S$100,2,FALSE), " ")</f>
        <v xml:space="preserve"> </v>
      </c>
      <c r="V163" s="32"/>
      <c r="W163" s="32"/>
      <c r="X163" s="53"/>
      <c r="Y163" s="21" t="str">
        <f>IFERROR(VLOOKUP(May[[#This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21" t="str">
        <f>IFERROR(VLOOKUP(May[[#This Row],[Drug Name4]],'Data Options'!$R$1:$S$100,2,FALSE), " ")</f>
        <v xml:space="preserve"> </v>
      </c>
      <c r="AI163" s="32"/>
      <c r="AJ163" s="32"/>
      <c r="AK163" s="53"/>
      <c r="AL163" s="21" t="str">
        <f>IFERROR(VLOOKUP(May[[#This Row],[Drug Name5]],'Data Options'!$R$1:$S$100,2,FALSE), " ")</f>
        <v xml:space="preserve"> </v>
      </c>
      <c r="AM163" s="32"/>
      <c r="AN163" s="32"/>
      <c r="AO163" s="53"/>
      <c r="AP163" s="21" t="str">
        <f>IFERROR(VLOOKUP(May[[#This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21" t="str">
        <f>IFERROR(VLOOKUP(May[[#This Row],[Drug Name7]],'Data Options'!$R$1:$S$100,2,FALSE), " ")</f>
        <v xml:space="preserve"> </v>
      </c>
      <c r="AZ163" s="32"/>
      <c r="BA163" s="32"/>
      <c r="BB163" s="53"/>
      <c r="BC163" s="21" t="str">
        <f>IFERROR(VLOOKUP(May[[#This Row],[Drug Name8]],'Data Options'!$R$1:$S$100,2,FALSE), " ")</f>
        <v xml:space="preserve"> </v>
      </c>
      <c r="BD163" s="32"/>
      <c r="BE163" s="32"/>
      <c r="BF163" s="53"/>
      <c r="BG163" s="21" t="str">
        <f>IFERROR(VLOOKUP(May[[#This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21" t="str">
        <f>IFERROR(VLOOKUP(May[[#This Row],[Drug Name]],'Data Options'!$R$1:$S$100,2,FALSE), " ")</f>
        <v xml:space="preserve"> </v>
      </c>
      <c r="R164" s="32"/>
      <c r="S164" s="32"/>
      <c r="T164" s="53"/>
      <c r="U164" s="21" t="str">
        <f>IFERROR(VLOOKUP(May[[#This Row],[Drug Name2]],'Data Options'!$R$1:$S$100,2,FALSE), " ")</f>
        <v xml:space="preserve"> </v>
      </c>
      <c r="V164" s="32"/>
      <c r="W164" s="32"/>
      <c r="X164" s="53"/>
      <c r="Y164" s="21" t="str">
        <f>IFERROR(VLOOKUP(May[[#This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21" t="str">
        <f>IFERROR(VLOOKUP(May[[#This Row],[Drug Name4]],'Data Options'!$R$1:$S$100,2,FALSE), " ")</f>
        <v xml:space="preserve"> </v>
      </c>
      <c r="AI164" s="32"/>
      <c r="AJ164" s="32"/>
      <c r="AK164" s="53"/>
      <c r="AL164" s="21" t="str">
        <f>IFERROR(VLOOKUP(May[[#This Row],[Drug Name5]],'Data Options'!$R$1:$S$100,2,FALSE), " ")</f>
        <v xml:space="preserve"> </v>
      </c>
      <c r="AM164" s="32"/>
      <c r="AN164" s="32"/>
      <c r="AO164" s="53"/>
      <c r="AP164" s="21" t="str">
        <f>IFERROR(VLOOKUP(May[[#This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21" t="str">
        <f>IFERROR(VLOOKUP(May[[#This Row],[Drug Name7]],'Data Options'!$R$1:$S$100,2,FALSE), " ")</f>
        <v xml:space="preserve"> </v>
      </c>
      <c r="AZ164" s="32"/>
      <c r="BA164" s="32"/>
      <c r="BB164" s="53"/>
      <c r="BC164" s="21" t="str">
        <f>IFERROR(VLOOKUP(May[[#This Row],[Drug Name8]],'Data Options'!$R$1:$S$100,2,FALSE), " ")</f>
        <v xml:space="preserve"> </v>
      </c>
      <c r="BD164" s="32"/>
      <c r="BE164" s="32"/>
      <c r="BF164" s="53"/>
      <c r="BG164" s="21" t="str">
        <f>IFERROR(VLOOKUP(May[[#This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21" t="str">
        <f>IFERROR(VLOOKUP(May[[#This Row],[Drug Name]],'Data Options'!$R$1:$S$100,2,FALSE), " ")</f>
        <v xml:space="preserve"> </v>
      </c>
      <c r="R165" s="32"/>
      <c r="S165" s="32"/>
      <c r="T165" s="53"/>
      <c r="U165" s="21" t="str">
        <f>IFERROR(VLOOKUP(May[[#This Row],[Drug Name2]],'Data Options'!$R$1:$S$100,2,FALSE), " ")</f>
        <v xml:space="preserve"> </v>
      </c>
      <c r="V165" s="32"/>
      <c r="W165" s="32"/>
      <c r="X165" s="53"/>
      <c r="Y165" s="21" t="str">
        <f>IFERROR(VLOOKUP(May[[#This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21" t="str">
        <f>IFERROR(VLOOKUP(May[[#This Row],[Drug Name4]],'Data Options'!$R$1:$S$100,2,FALSE), " ")</f>
        <v xml:space="preserve"> </v>
      </c>
      <c r="AI165" s="32"/>
      <c r="AJ165" s="32"/>
      <c r="AK165" s="53"/>
      <c r="AL165" s="21" t="str">
        <f>IFERROR(VLOOKUP(May[[#This Row],[Drug Name5]],'Data Options'!$R$1:$S$100,2,FALSE), " ")</f>
        <v xml:space="preserve"> </v>
      </c>
      <c r="AM165" s="32"/>
      <c r="AN165" s="32"/>
      <c r="AO165" s="53"/>
      <c r="AP165" s="21" t="str">
        <f>IFERROR(VLOOKUP(May[[#This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21" t="str">
        <f>IFERROR(VLOOKUP(May[[#This Row],[Drug Name7]],'Data Options'!$R$1:$S$100,2,FALSE), " ")</f>
        <v xml:space="preserve"> </v>
      </c>
      <c r="AZ165" s="32"/>
      <c r="BA165" s="32"/>
      <c r="BB165" s="53"/>
      <c r="BC165" s="21" t="str">
        <f>IFERROR(VLOOKUP(May[[#This Row],[Drug Name8]],'Data Options'!$R$1:$S$100,2,FALSE), " ")</f>
        <v xml:space="preserve"> </v>
      </c>
      <c r="BD165" s="32"/>
      <c r="BE165" s="32"/>
      <c r="BF165" s="53"/>
      <c r="BG165" s="21" t="str">
        <f>IFERROR(VLOOKUP(May[[#This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21" t="str">
        <f>IFERROR(VLOOKUP(May[[#This Row],[Drug Name]],'Data Options'!$R$1:$S$100,2,FALSE), " ")</f>
        <v xml:space="preserve"> </v>
      </c>
      <c r="R166" s="32"/>
      <c r="S166" s="32"/>
      <c r="T166" s="53"/>
      <c r="U166" s="21" t="str">
        <f>IFERROR(VLOOKUP(May[[#This Row],[Drug Name2]],'Data Options'!$R$1:$S$100,2,FALSE), " ")</f>
        <v xml:space="preserve"> </v>
      </c>
      <c r="V166" s="32"/>
      <c r="W166" s="32"/>
      <c r="X166" s="53"/>
      <c r="Y166" s="21" t="str">
        <f>IFERROR(VLOOKUP(May[[#This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21" t="str">
        <f>IFERROR(VLOOKUP(May[[#This Row],[Drug Name4]],'Data Options'!$R$1:$S$100,2,FALSE), " ")</f>
        <v xml:space="preserve"> </v>
      </c>
      <c r="AI166" s="32"/>
      <c r="AJ166" s="32"/>
      <c r="AK166" s="53"/>
      <c r="AL166" s="21" t="str">
        <f>IFERROR(VLOOKUP(May[[#This Row],[Drug Name5]],'Data Options'!$R$1:$S$100,2,FALSE), " ")</f>
        <v xml:space="preserve"> </v>
      </c>
      <c r="AM166" s="32"/>
      <c r="AN166" s="32"/>
      <c r="AO166" s="53"/>
      <c r="AP166" s="21" t="str">
        <f>IFERROR(VLOOKUP(May[[#This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21" t="str">
        <f>IFERROR(VLOOKUP(May[[#This Row],[Drug Name7]],'Data Options'!$R$1:$S$100,2,FALSE), " ")</f>
        <v xml:space="preserve"> </v>
      </c>
      <c r="AZ166" s="32"/>
      <c r="BA166" s="32"/>
      <c r="BB166" s="53"/>
      <c r="BC166" s="21" t="str">
        <f>IFERROR(VLOOKUP(May[[#This Row],[Drug Name8]],'Data Options'!$R$1:$S$100,2,FALSE), " ")</f>
        <v xml:space="preserve"> </v>
      </c>
      <c r="BD166" s="32"/>
      <c r="BE166" s="32"/>
      <c r="BF166" s="53"/>
      <c r="BG166" s="21" t="str">
        <f>IFERROR(VLOOKUP(May[[#This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21" t="str">
        <f>IFERROR(VLOOKUP(May[[#This Row],[Drug Name]],'Data Options'!$R$1:$S$100,2,FALSE), " ")</f>
        <v xml:space="preserve"> </v>
      </c>
      <c r="R167" s="32"/>
      <c r="S167" s="32"/>
      <c r="T167" s="53"/>
      <c r="U167" s="21" t="str">
        <f>IFERROR(VLOOKUP(May[[#This Row],[Drug Name2]],'Data Options'!$R$1:$S$100,2,FALSE), " ")</f>
        <v xml:space="preserve"> </v>
      </c>
      <c r="V167" s="32"/>
      <c r="W167" s="32"/>
      <c r="X167" s="53"/>
      <c r="Y167" s="21" t="str">
        <f>IFERROR(VLOOKUP(May[[#This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21" t="str">
        <f>IFERROR(VLOOKUP(May[[#This Row],[Drug Name4]],'Data Options'!$R$1:$S$100,2,FALSE), " ")</f>
        <v xml:space="preserve"> </v>
      </c>
      <c r="AI167" s="32"/>
      <c r="AJ167" s="32"/>
      <c r="AK167" s="53"/>
      <c r="AL167" s="21" t="str">
        <f>IFERROR(VLOOKUP(May[[#This Row],[Drug Name5]],'Data Options'!$R$1:$S$100,2,FALSE), " ")</f>
        <v xml:space="preserve"> </v>
      </c>
      <c r="AM167" s="32"/>
      <c r="AN167" s="32"/>
      <c r="AO167" s="53"/>
      <c r="AP167" s="21" t="str">
        <f>IFERROR(VLOOKUP(May[[#This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21" t="str">
        <f>IFERROR(VLOOKUP(May[[#This Row],[Drug Name7]],'Data Options'!$R$1:$S$100,2,FALSE), " ")</f>
        <v xml:space="preserve"> </v>
      </c>
      <c r="AZ167" s="32"/>
      <c r="BA167" s="32"/>
      <c r="BB167" s="53"/>
      <c r="BC167" s="21" t="str">
        <f>IFERROR(VLOOKUP(May[[#This Row],[Drug Name8]],'Data Options'!$R$1:$S$100,2,FALSE), " ")</f>
        <v xml:space="preserve"> </v>
      </c>
      <c r="BD167" s="32"/>
      <c r="BE167" s="32"/>
      <c r="BF167" s="53"/>
      <c r="BG167" s="21" t="str">
        <f>IFERROR(VLOOKUP(May[[#This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21" t="str">
        <f>IFERROR(VLOOKUP(May[[#This Row],[Drug Name]],'Data Options'!$R$1:$S$100,2,FALSE), " ")</f>
        <v xml:space="preserve"> </v>
      </c>
      <c r="R168" s="32"/>
      <c r="S168" s="32"/>
      <c r="T168" s="53"/>
      <c r="U168" s="21" t="str">
        <f>IFERROR(VLOOKUP(May[[#This Row],[Drug Name2]],'Data Options'!$R$1:$S$100,2,FALSE), " ")</f>
        <v xml:space="preserve"> </v>
      </c>
      <c r="V168" s="32"/>
      <c r="W168" s="32"/>
      <c r="X168" s="53"/>
      <c r="Y168" s="21" t="str">
        <f>IFERROR(VLOOKUP(May[[#This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21" t="str">
        <f>IFERROR(VLOOKUP(May[[#This Row],[Drug Name4]],'Data Options'!$R$1:$S$100,2,FALSE), " ")</f>
        <v xml:space="preserve"> </v>
      </c>
      <c r="AI168" s="32"/>
      <c r="AJ168" s="32"/>
      <c r="AK168" s="53"/>
      <c r="AL168" s="21" t="str">
        <f>IFERROR(VLOOKUP(May[[#This Row],[Drug Name5]],'Data Options'!$R$1:$S$100,2,FALSE), " ")</f>
        <v xml:space="preserve"> </v>
      </c>
      <c r="AM168" s="32"/>
      <c r="AN168" s="32"/>
      <c r="AO168" s="53"/>
      <c r="AP168" s="21" t="str">
        <f>IFERROR(VLOOKUP(May[[#This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21" t="str">
        <f>IFERROR(VLOOKUP(May[[#This Row],[Drug Name7]],'Data Options'!$R$1:$S$100,2,FALSE), " ")</f>
        <v xml:space="preserve"> </v>
      </c>
      <c r="AZ168" s="32"/>
      <c r="BA168" s="32"/>
      <c r="BB168" s="53"/>
      <c r="BC168" s="21" t="str">
        <f>IFERROR(VLOOKUP(May[[#This Row],[Drug Name8]],'Data Options'!$R$1:$S$100,2,FALSE), " ")</f>
        <v xml:space="preserve"> </v>
      </c>
      <c r="BD168" s="32"/>
      <c r="BE168" s="32"/>
      <c r="BF168" s="53"/>
      <c r="BG168" s="21" t="str">
        <f>IFERROR(VLOOKUP(May[[#This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21" t="str">
        <f>IFERROR(VLOOKUP(May[[#This Row],[Drug Name]],'Data Options'!$R$1:$S$100,2,FALSE), " ")</f>
        <v xml:space="preserve"> </v>
      </c>
      <c r="R169" s="32"/>
      <c r="S169" s="32"/>
      <c r="T169" s="53"/>
      <c r="U169" s="21" t="str">
        <f>IFERROR(VLOOKUP(May[[#This Row],[Drug Name2]],'Data Options'!$R$1:$S$100,2,FALSE), " ")</f>
        <v xml:space="preserve"> </v>
      </c>
      <c r="V169" s="32"/>
      <c r="W169" s="32"/>
      <c r="X169" s="53"/>
      <c r="Y169" s="21" t="str">
        <f>IFERROR(VLOOKUP(May[[#This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21" t="str">
        <f>IFERROR(VLOOKUP(May[[#This Row],[Drug Name4]],'Data Options'!$R$1:$S$100,2,FALSE), " ")</f>
        <v xml:space="preserve"> </v>
      </c>
      <c r="AI169" s="32"/>
      <c r="AJ169" s="32"/>
      <c r="AK169" s="53"/>
      <c r="AL169" s="21" t="str">
        <f>IFERROR(VLOOKUP(May[[#This Row],[Drug Name5]],'Data Options'!$R$1:$S$100,2,FALSE), " ")</f>
        <v xml:space="preserve"> </v>
      </c>
      <c r="AM169" s="32"/>
      <c r="AN169" s="32"/>
      <c r="AO169" s="53"/>
      <c r="AP169" s="21" t="str">
        <f>IFERROR(VLOOKUP(May[[#This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21" t="str">
        <f>IFERROR(VLOOKUP(May[[#This Row],[Drug Name7]],'Data Options'!$R$1:$S$100,2,FALSE), " ")</f>
        <v xml:space="preserve"> </v>
      </c>
      <c r="AZ169" s="32"/>
      <c r="BA169" s="32"/>
      <c r="BB169" s="53"/>
      <c r="BC169" s="21" t="str">
        <f>IFERROR(VLOOKUP(May[[#This Row],[Drug Name8]],'Data Options'!$R$1:$S$100,2,FALSE), " ")</f>
        <v xml:space="preserve"> </v>
      </c>
      <c r="BD169" s="32"/>
      <c r="BE169" s="32"/>
      <c r="BF169" s="53"/>
      <c r="BG169" s="21" t="str">
        <f>IFERROR(VLOOKUP(May[[#This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21" t="str">
        <f>IFERROR(VLOOKUP(May[[#This Row],[Drug Name]],'Data Options'!$R$1:$S$100,2,FALSE), " ")</f>
        <v xml:space="preserve"> </v>
      </c>
      <c r="R170" s="32"/>
      <c r="S170" s="32"/>
      <c r="T170" s="53"/>
      <c r="U170" s="21" t="str">
        <f>IFERROR(VLOOKUP(May[[#This Row],[Drug Name2]],'Data Options'!$R$1:$S$100,2,FALSE), " ")</f>
        <v xml:space="preserve"> </v>
      </c>
      <c r="V170" s="32"/>
      <c r="W170" s="32"/>
      <c r="X170" s="53"/>
      <c r="Y170" s="21" t="str">
        <f>IFERROR(VLOOKUP(May[[#This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21" t="str">
        <f>IFERROR(VLOOKUP(May[[#This Row],[Drug Name4]],'Data Options'!$R$1:$S$100,2,FALSE), " ")</f>
        <v xml:space="preserve"> </v>
      </c>
      <c r="AI170" s="32"/>
      <c r="AJ170" s="32"/>
      <c r="AK170" s="53"/>
      <c r="AL170" s="21" t="str">
        <f>IFERROR(VLOOKUP(May[[#This Row],[Drug Name5]],'Data Options'!$R$1:$S$100,2,FALSE), " ")</f>
        <v xml:space="preserve"> </v>
      </c>
      <c r="AM170" s="32"/>
      <c r="AN170" s="32"/>
      <c r="AO170" s="53"/>
      <c r="AP170" s="21" t="str">
        <f>IFERROR(VLOOKUP(May[[#This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21" t="str">
        <f>IFERROR(VLOOKUP(May[[#This Row],[Drug Name7]],'Data Options'!$R$1:$S$100,2,FALSE), " ")</f>
        <v xml:space="preserve"> </v>
      </c>
      <c r="AZ170" s="32"/>
      <c r="BA170" s="32"/>
      <c r="BB170" s="53"/>
      <c r="BC170" s="21" t="str">
        <f>IFERROR(VLOOKUP(May[[#This Row],[Drug Name8]],'Data Options'!$R$1:$S$100,2,FALSE), " ")</f>
        <v xml:space="preserve"> </v>
      </c>
      <c r="BD170" s="32"/>
      <c r="BE170" s="32"/>
      <c r="BF170" s="53"/>
      <c r="BG170" s="21" t="str">
        <f>IFERROR(VLOOKUP(May[[#This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21" t="str">
        <f>IFERROR(VLOOKUP(May[[#This Row],[Drug Name]],'Data Options'!$R$1:$S$100,2,FALSE), " ")</f>
        <v xml:space="preserve"> </v>
      </c>
      <c r="R171" s="32"/>
      <c r="S171" s="32"/>
      <c r="T171" s="53"/>
      <c r="U171" s="21" t="str">
        <f>IFERROR(VLOOKUP(May[[#This Row],[Drug Name2]],'Data Options'!$R$1:$S$100,2,FALSE), " ")</f>
        <v xml:space="preserve"> </v>
      </c>
      <c r="V171" s="32"/>
      <c r="W171" s="32"/>
      <c r="X171" s="53"/>
      <c r="Y171" s="21" t="str">
        <f>IFERROR(VLOOKUP(May[[#This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21" t="str">
        <f>IFERROR(VLOOKUP(May[[#This Row],[Drug Name4]],'Data Options'!$R$1:$S$100,2,FALSE), " ")</f>
        <v xml:space="preserve"> </v>
      </c>
      <c r="AI171" s="32"/>
      <c r="AJ171" s="32"/>
      <c r="AK171" s="53"/>
      <c r="AL171" s="21" t="str">
        <f>IFERROR(VLOOKUP(May[[#This Row],[Drug Name5]],'Data Options'!$R$1:$S$100,2,FALSE), " ")</f>
        <v xml:space="preserve"> </v>
      </c>
      <c r="AM171" s="32"/>
      <c r="AN171" s="32"/>
      <c r="AO171" s="53"/>
      <c r="AP171" s="21" t="str">
        <f>IFERROR(VLOOKUP(May[[#This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21" t="str">
        <f>IFERROR(VLOOKUP(May[[#This Row],[Drug Name7]],'Data Options'!$R$1:$S$100,2,FALSE), " ")</f>
        <v xml:space="preserve"> </v>
      </c>
      <c r="AZ171" s="32"/>
      <c r="BA171" s="32"/>
      <c r="BB171" s="53"/>
      <c r="BC171" s="21" t="str">
        <f>IFERROR(VLOOKUP(May[[#This Row],[Drug Name8]],'Data Options'!$R$1:$S$100,2,FALSE), " ")</f>
        <v xml:space="preserve"> </v>
      </c>
      <c r="BD171" s="32"/>
      <c r="BE171" s="32"/>
      <c r="BF171" s="53"/>
      <c r="BG171" s="21" t="str">
        <f>IFERROR(VLOOKUP(May[[#This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21" t="str">
        <f>IFERROR(VLOOKUP(May[[#This Row],[Drug Name]],'Data Options'!$R$1:$S$100,2,FALSE), " ")</f>
        <v xml:space="preserve"> </v>
      </c>
      <c r="R172" s="32"/>
      <c r="S172" s="32"/>
      <c r="T172" s="53"/>
      <c r="U172" s="21" t="str">
        <f>IFERROR(VLOOKUP(May[[#This Row],[Drug Name2]],'Data Options'!$R$1:$S$100,2,FALSE), " ")</f>
        <v xml:space="preserve"> </v>
      </c>
      <c r="V172" s="32"/>
      <c r="W172" s="32"/>
      <c r="X172" s="53"/>
      <c r="Y172" s="21" t="str">
        <f>IFERROR(VLOOKUP(May[[#This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21" t="str">
        <f>IFERROR(VLOOKUP(May[[#This Row],[Drug Name4]],'Data Options'!$R$1:$S$100,2,FALSE), " ")</f>
        <v xml:space="preserve"> </v>
      </c>
      <c r="AI172" s="32"/>
      <c r="AJ172" s="32"/>
      <c r="AK172" s="53"/>
      <c r="AL172" s="21" t="str">
        <f>IFERROR(VLOOKUP(May[[#This Row],[Drug Name5]],'Data Options'!$R$1:$S$100,2,FALSE), " ")</f>
        <v xml:space="preserve"> </v>
      </c>
      <c r="AM172" s="32"/>
      <c r="AN172" s="32"/>
      <c r="AO172" s="53"/>
      <c r="AP172" s="21" t="str">
        <f>IFERROR(VLOOKUP(May[[#This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21" t="str">
        <f>IFERROR(VLOOKUP(May[[#This Row],[Drug Name7]],'Data Options'!$R$1:$S$100,2,FALSE), " ")</f>
        <v xml:space="preserve"> </v>
      </c>
      <c r="AZ172" s="32"/>
      <c r="BA172" s="32"/>
      <c r="BB172" s="53"/>
      <c r="BC172" s="21" t="str">
        <f>IFERROR(VLOOKUP(May[[#This Row],[Drug Name8]],'Data Options'!$R$1:$S$100,2,FALSE), " ")</f>
        <v xml:space="preserve"> </v>
      </c>
      <c r="BD172" s="32"/>
      <c r="BE172" s="32"/>
      <c r="BF172" s="53"/>
      <c r="BG172" s="21" t="str">
        <f>IFERROR(VLOOKUP(May[[#This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21" t="str">
        <f>IFERROR(VLOOKUP(May[[#This Row],[Drug Name]],'Data Options'!$R$1:$S$100,2,FALSE), " ")</f>
        <v xml:space="preserve"> </v>
      </c>
      <c r="R173" s="32"/>
      <c r="S173" s="32"/>
      <c r="T173" s="53"/>
      <c r="U173" s="21" t="str">
        <f>IFERROR(VLOOKUP(May[[#This Row],[Drug Name2]],'Data Options'!$R$1:$S$100,2,FALSE), " ")</f>
        <v xml:space="preserve"> </v>
      </c>
      <c r="V173" s="32"/>
      <c r="W173" s="32"/>
      <c r="X173" s="53"/>
      <c r="Y173" s="21" t="str">
        <f>IFERROR(VLOOKUP(May[[#This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21" t="str">
        <f>IFERROR(VLOOKUP(May[[#This Row],[Drug Name4]],'Data Options'!$R$1:$S$100,2,FALSE), " ")</f>
        <v xml:space="preserve"> </v>
      </c>
      <c r="AI173" s="32"/>
      <c r="AJ173" s="32"/>
      <c r="AK173" s="53"/>
      <c r="AL173" s="21" t="str">
        <f>IFERROR(VLOOKUP(May[[#This Row],[Drug Name5]],'Data Options'!$R$1:$S$100,2,FALSE), " ")</f>
        <v xml:space="preserve"> </v>
      </c>
      <c r="AM173" s="32"/>
      <c r="AN173" s="32"/>
      <c r="AO173" s="53"/>
      <c r="AP173" s="21" t="str">
        <f>IFERROR(VLOOKUP(May[[#This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21" t="str">
        <f>IFERROR(VLOOKUP(May[[#This Row],[Drug Name7]],'Data Options'!$R$1:$S$100,2,FALSE), " ")</f>
        <v xml:space="preserve"> </v>
      </c>
      <c r="AZ173" s="32"/>
      <c r="BA173" s="32"/>
      <c r="BB173" s="53"/>
      <c r="BC173" s="21" t="str">
        <f>IFERROR(VLOOKUP(May[[#This Row],[Drug Name8]],'Data Options'!$R$1:$S$100,2,FALSE), " ")</f>
        <v xml:space="preserve"> </v>
      </c>
      <c r="BD173" s="32"/>
      <c r="BE173" s="32"/>
      <c r="BF173" s="53"/>
      <c r="BG173" s="21" t="str">
        <f>IFERROR(VLOOKUP(May[[#This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21" t="str">
        <f>IFERROR(VLOOKUP(May[[#This Row],[Drug Name]],'Data Options'!$R$1:$S$100,2,FALSE), " ")</f>
        <v xml:space="preserve"> </v>
      </c>
      <c r="R174" s="32"/>
      <c r="S174" s="32"/>
      <c r="T174" s="53"/>
      <c r="U174" s="21" t="str">
        <f>IFERROR(VLOOKUP(May[[#This Row],[Drug Name2]],'Data Options'!$R$1:$S$100,2,FALSE), " ")</f>
        <v xml:space="preserve"> </v>
      </c>
      <c r="V174" s="32"/>
      <c r="W174" s="32"/>
      <c r="X174" s="53"/>
      <c r="Y174" s="21" t="str">
        <f>IFERROR(VLOOKUP(May[[#This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21" t="str">
        <f>IFERROR(VLOOKUP(May[[#This Row],[Drug Name4]],'Data Options'!$R$1:$S$100,2,FALSE), " ")</f>
        <v xml:space="preserve"> </v>
      </c>
      <c r="AI174" s="32"/>
      <c r="AJ174" s="32"/>
      <c r="AK174" s="53"/>
      <c r="AL174" s="21" t="str">
        <f>IFERROR(VLOOKUP(May[[#This Row],[Drug Name5]],'Data Options'!$R$1:$S$100,2,FALSE), " ")</f>
        <v xml:space="preserve"> </v>
      </c>
      <c r="AM174" s="32"/>
      <c r="AN174" s="32"/>
      <c r="AO174" s="53"/>
      <c r="AP174" s="21" t="str">
        <f>IFERROR(VLOOKUP(May[[#This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21" t="str">
        <f>IFERROR(VLOOKUP(May[[#This Row],[Drug Name7]],'Data Options'!$R$1:$S$100,2,FALSE), " ")</f>
        <v xml:space="preserve"> </v>
      </c>
      <c r="AZ174" s="32"/>
      <c r="BA174" s="32"/>
      <c r="BB174" s="53"/>
      <c r="BC174" s="21" t="str">
        <f>IFERROR(VLOOKUP(May[[#This Row],[Drug Name8]],'Data Options'!$R$1:$S$100,2,FALSE), " ")</f>
        <v xml:space="preserve"> </v>
      </c>
      <c r="BD174" s="32"/>
      <c r="BE174" s="32"/>
      <c r="BF174" s="53"/>
      <c r="BG174" s="21" t="str">
        <f>IFERROR(VLOOKUP(May[[#This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21" t="str">
        <f>IFERROR(VLOOKUP(May[[#This Row],[Drug Name]],'Data Options'!$R$1:$S$100,2,FALSE), " ")</f>
        <v xml:space="preserve"> </v>
      </c>
      <c r="R175" s="32"/>
      <c r="S175" s="32"/>
      <c r="T175" s="53"/>
      <c r="U175" s="21" t="str">
        <f>IFERROR(VLOOKUP(May[[#This Row],[Drug Name2]],'Data Options'!$R$1:$S$100,2,FALSE), " ")</f>
        <v xml:space="preserve"> </v>
      </c>
      <c r="V175" s="32"/>
      <c r="W175" s="32"/>
      <c r="X175" s="53"/>
      <c r="Y175" s="21" t="str">
        <f>IFERROR(VLOOKUP(May[[#This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21" t="str">
        <f>IFERROR(VLOOKUP(May[[#This Row],[Drug Name4]],'Data Options'!$R$1:$S$100,2,FALSE), " ")</f>
        <v xml:space="preserve"> </v>
      </c>
      <c r="AI175" s="32"/>
      <c r="AJ175" s="32"/>
      <c r="AK175" s="53"/>
      <c r="AL175" s="21" t="str">
        <f>IFERROR(VLOOKUP(May[[#This Row],[Drug Name5]],'Data Options'!$R$1:$S$100,2,FALSE), " ")</f>
        <v xml:space="preserve"> </v>
      </c>
      <c r="AM175" s="32"/>
      <c r="AN175" s="32"/>
      <c r="AO175" s="53"/>
      <c r="AP175" s="21" t="str">
        <f>IFERROR(VLOOKUP(May[[#This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21" t="str">
        <f>IFERROR(VLOOKUP(May[[#This Row],[Drug Name7]],'Data Options'!$R$1:$S$100,2,FALSE), " ")</f>
        <v xml:space="preserve"> </v>
      </c>
      <c r="AZ175" s="32"/>
      <c r="BA175" s="32"/>
      <c r="BB175" s="53"/>
      <c r="BC175" s="21" t="str">
        <f>IFERROR(VLOOKUP(May[[#This Row],[Drug Name8]],'Data Options'!$R$1:$S$100,2,FALSE), " ")</f>
        <v xml:space="preserve"> </v>
      </c>
      <c r="BD175" s="32"/>
      <c r="BE175" s="32"/>
      <c r="BF175" s="53"/>
      <c r="BG175" s="21" t="str">
        <f>IFERROR(VLOOKUP(May[[#This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21" t="str">
        <f>IFERROR(VLOOKUP(May[[#This Row],[Drug Name]],'Data Options'!$R$1:$S$100,2,FALSE), " ")</f>
        <v xml:space="preserve"> </v>
      </c>
      <c r="R176" s="32"/>
      <c r="S176" s="32"/>
      <c r="T176" s="53"/>
      <c r="U176" s="21" t="str">
        <f>IFERROR(VLOOKUP(May[[#This Row],[Drug Name2]],'Data Options'!$R$1:$S$100,2,FALSE), " ")</f>
        <v xml:space="preserve"> </v>
      </c>
      <c r="V176" s="32"/>
      <c r="W176" s="32"/>
      <c r="X176" s="53"/>
      <c r="Y176" s="21" t="str">
        <f>IFERROR(VLOOKUP(May[[#This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21" t="str">
        <f>IFERROR(VLOOKUP(May[[#This Row],[Drug Name4]],'Data Options'!$R$1:$S$100,2,FALSE), " ")</f>
        <v xml:space="preserve"> </v>
      </c>
      <c r="AI176" s="32"/>
      <c r="AJ176" s="32"/>
      <c r="AK176" s="53"/>
      <c r="AL176" s="21" t="str">
        <f>IFERROR(VLOOKUP(May[[#This Row],[Drug Name5]],'Data Options'!$R$1:$S$100,2,FALSE), " ")</f>
        <v xml:space="preserve"> </v>
      </c>
      <c r="AM176" s="32"/>
      <c r="AN176" s="32"/>
      <c r="AO176" s="53"/>
      <c r="AP176" s="21" t="str">
        <f>IFERROR(VLOOKUP(May[[#This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21" t="str">
        <f>IFERROR(VLOOKUP(May[[#This Row],[Drug Name7]],'Data Options'!$R$1:$S$100,2,FALSE), " ")</f>
        <v xml:space="preserve"> </v>
      </c>
      <c r="AZ176" s="32"/>
      <c r="BA176" s="32"/>
      <c r="BB176" s="53"/>
      <c r="BC176" s="21" t="str">
        <f>IFERROR(VLOOKUP(May[[#This Row],[Drug Name8]],'Data Options'!$R$1:$S$100,2,FALSE), " ")</f>
        <v xml:space="preserve"> </v>
      </c>
      <c r="BD176" s="32"/>
      <c r="BE176" s="32"/>
      <c r="BF176" s="53"/>
      <c r="BG176" s="21" t="str">
        <f>IFERROR(VLOOKUP(May[[#This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21" t="str">
        <f>IFERROR(VLOOKUP(May[[#This Row],[Drug Name]],'Data Options'!$R$1:$S$100,2,FALSE), " ")</f>
        <v xml:space="preserve"> </v>
      </c>
      <c r="R177" s="32"/>
      <c r="S177" s="32"/>
      <c r="T177" s="53"/>
      <c r="U177" s="21" t="str">
        <f>IFERROR(VLOOKUP(May[[#This Row],[Drug Name2]],'Data Options'!$R$1:$S$100,2,FALSE), " ")</f>
        <v xml:space="preserve"> </v>
      </c>
      <c r="V177" s="32"/>
      <c r="W177" s="32"/>
      <c r="X177" s="53"/>
      <c r="Y177" s="21" t="str">
        <f>IFERROR(VLOOKUP(May[[#This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21" t="str">
        <f>IFERROR(VLOOKUP(May[[#This Row],[Drug Name4]],'Data Options'!$R$1:$S$100,2,FALSE), " ")</f>
        <v xml:space="preserve"> </v>
      </c>
      <c r="AI177" s="32"/>
      <c r="AJ177" s="32"/>
      <c r="AK177" s="53"/>
      <c r="AL177" s="21" t="str">
        <f>IFERROR(VLOOKUP(May[[#This Row],[Drug Name5]],'Data Options'!$R$1:$S$100,2,FALSE), " ")</f>
        <v xml:space="preserve"> </v>
      </c>
      <c r="AM177" s="32"/>
      <c r="AN177" s="32"/>
      <c r="AO177" s="53"/>
      <c r="AP177" s="21" t="str">
        <f>IFERROR(VLOOKUP(May[[#This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21" t="str">
        <f>IFERROR(VLOOKUP(May[[#This Row],[Drug Name7]],'Data Options'!$R$1:$S$100,2,FALSE), " ")</f>
        <v xml:space="preserve"> </v>
      </c>
      <c r="AZ177" s="32"/>
      <c r="BA177" s="32"/>
      <c r="BB177" s="53"/>
      <c r="BC177" s="21" t="str">
        <f>IFERROR(VLOOKUP(May[[#This Row],[Drug Name8]],'Data Options'!$R$1:$S$100,2,FALSE), " ")</f>
        <v xml:space="preserve"> </v>
      </c>
      <c r="BD177" s="32"/>
      <c r="BE177" s="32"/>
      <c r="BF177" s="53"/>
      <c r="BG177" s="21" t="str">
        <f>IFERROR(VLOOKUP(May[[#This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21" t="str">
        <f>IFERROR(VLOOKUP(May[[#This Row],[Drug Name]],'Data Options'!$R$1:$S$100,2,FALSE), " ")</f>
        <v xml:space="preserve"> </v>
      </c>
      <c r="R178" s="32"/>
      <c r="S178" s="32"/>
      <c r="T178" s="53"/>
      <c r="U178" s="21" t="str">
        <f>IFERROR(VLOOKUP(May[[#This Row],[Drug Name2]],'Data Options'!$R$1:$S$100,2,FALSE), " ")</f>
        <v xml:space="preserve"> </v>
      </c>
      <c r="V178" s="32"/>
      <c r="W178" s="32"/>
      <c r="X178" s="53"/>
      <c r="Y178" s="21" t="str">
        <f>IFERROR(VLOOKUP(May[[#This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21" t="str">
        <f>IFERROR(VLOOKUP(May[[#This Row],[Drug Name4]],'Data Options'!$R$1:$S$100,2,FALSE), " ")</f>
        <v xml:space="preserve"> </v>
      </c>
      <c r="AI178" s="32"/>
      <c r="AJ178" s="32"/>
      <c r="AK178" s="53"/>
      <c r="AL178" s="21" t="str">
        <f>IFERROR(VLOOKUP(May[[#This Row],[Drug Name5]],'Data Options'!$R$1:$S$100,2,FALSE), " ")</f>
        <v xml:space="preserve"> </v>
      </c>
      <c r="AM178" s="32"/>
      <c r="AN178" s="32"/>
      <c r="AO178" s="53"/>
      <c r="AP178" s="21" t="str">
        <f>IFERROR(VLOOKUP(May[[#This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21" t="str">
        <f>IFERROR(VLOOKUP(May[[#This Row],[Drug Name7]],'Data Options'!$R$1:$S$100,2,FALSE), " ")</f>
        <v xml:space="preserve"> </v>
      </c>
      <c r="AZ178" s="32"/>
      <c r="BA178" s="32"/>
      <c r="BB178" s="53"/>
      <c r="BC178" s="21" t="str">
        <f>IFERROR(VLOOKUP(May[[#This Row],[Drug Name8]],'Data Options'!$R$1:$S$100,2,FALSE), " ")</f>
        <v xml:space="preserve"> </v>
      </c>
      <c r="BD178" s="32"/>
      <c r="BE178" s="32"/>
      <c r="BF178" s="53"/>
      <c r="BG178" s="21" t="str">
        <f>IFERROR(VLOOKUP(May[[#This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21" t="str">
        <f>IFERROR(VLOOKUP(May[[#This Row],[Drug Name]],'Data Options'!$R$1:$S$100,2,FALSE), " ")</f>
        <v xml:space="preserve"> </v>
      </c>
      <c r="R179" s="32"/>
      <c r="S179" s="32"/>
      <c r="T179" s="53"/>
      <c r="U179" s="21" t="str">
        <f>IFERROR(VLOOKUP(May[[#This Row],[Drug Name2]],'Data Options'!$R$1:$S$100,2,FALSE), " ")</f>
        <v xml:space="preserve"> </v>
      </c>
      <c r="V179" s="32"/>
      <c r="W179" s="32"/>
      <c r="X179" s="53"/>
      <c r="Y179" s="21" t="str">
        <f>IFERROR(VLOOKUP(May[[#This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21" t="str">
        <f>IFERROR(VLOOKUP(May[[#This Row],[Drug Name4]],'Data Options'!$R$1:$S$100,2,FALSE), " ")</f>
        <v xml:space="preserve"> </v>
      </c>
      <c r="AI179" s="32"/>
      <c r="AJ179" s="32"/>
      <c r="AK179" s="53"/>
      <c r="AL179" s="21" t="str">
        <f>IFERROR(VLOOKUP(May[[#This Row],[Drug Name5]],'Data Options'!$R$1:$S$100,2,FALSE), " ")</f>
        <v xml:space="preserve"> </v>
      </c>
      <c r="AM179" s="32"/>
      <c r="AN179" s="32"/>
      <c r="AO179" s="53"/>
      <c r="AP179" s="21" t="str">
        <f>IFERROR(VLOOKUP(May[[#This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21" t="str">
        <f>IFERROR(VLOOKUP(May[[#This Row],[Drug Name7]],'Data Options'!$R$1:$S$100,2,FALSE), " ")</f>
        <v xml:space="preserve"> </v>
      </c>
      <c r="AZ179" s="32"/>
      <c r="BA179" s="32"/>
      <c r="BB179" s="53"/>
      <c r="BC179" s="21" t="str">
        <f>IFERROR(VLOOKUP(May[[#This Row],[Drug Name8]],'Data Options'!$R$1:$S$100,2,FALSE), " ")</f>
        <v xml:space="preserve"> </v>
      </c>
      <c r="BD179" s="32"/>
      <c r="BE179" s="32"/>
      <c r="BF179" s="53"/>
      <c r="BG179" s="21" t="str">
        <f>IFERROR(VLOOKUP(May[[#This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21" t="str">
        <f>IFERROR(VLOOKUP(May[[#This Row],[Drug Name]],'Data Options'!$R$1:$S$100,2,FALSE), " ")</f>
        <v xml:space="preserve"> </v>
      </c>
      <c r="R180" s="32"/>
      <c r="S180" s="32"/>
      <c r="T180" s="53"/>
      <c r="U180" s="21" t="str">
        <f>IFERROR(VLOOKUP(May[[#This Row],[Drug Name2]],'Data Options'!$R$1:$S$100,2,FALSE), " ")</f>
        <v xml:space="preserve"> </v>
      </c>
      <c r="V180" s="32"/>
      <c r="W180" s="32"/>
      <c r="X180" s="53"/>
      <c r="Y180" s="21" t="str">
        <f>IFERROR(VLOOKUP(May[[#This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21" t="str">
        <f>IFERROR(VLOOKUP(May[[#This Row],[Drug Name4]],'Data Options'!$R$1:$S$100,2,FALSE), " ")</f>
        <v xml:space="preserve"> </v>
      </c>
      <c r="AI180" s="32"/>
      <c r="AJ180" s="32"/>
      <c r="AK180" s="53"/>
      <c r="AL180" s="21" t="str">
        <f>IFERROR(VLOOKUP(May[[#This Row],[Drug Name5]],'Data Options'!$R$1:$S$100,2,FALSE), " ")</f>
        <v xml:space="preserve"> </v>
      </c>
      <c r="AM180" s="32"/>
      <c r="AN180" s="32"/>
      <c r="AO180" s="53"/>
      <c r="AP180" s="21" t="str">
        <f>IFERROR(VLOOKUP(May[[#This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21" t="str">
        <f>IFERROR(VLOOKUP(May[[#This Row],[Drug Name7]],'Data Options'!$R$1:$S$100,2,FALSE), " ")</f>
        <v xml:space="preserve"> </v>
      </c>
      <c r="AZ180" s="32"/>
      <c r="BA180" s="32"/>
      <c r="BB180" s="53"/>
      <c r="BC180" s="21" t="str">
        <f>IFERROR(VLOOKUP(May[[#This Row],[Drug Name8]],'Data Options'!$R$1:$S$100,2,FALSE), " ")</f>
        <v xml:space="preserve"> </v>
      </c>
      <c r="BD180" s="32"/>
      <c r="BE180" s="32"/>
      <c r="BF180" s="53"/>
      <c r="BG180" s="21" t="str">
        <f>IFERROR(VLOOKUP(May[[#This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21" t="str">
        <f>IFERROR(VLOOKUP(May[[#This Row],[Drug Name]],'Data Options'!$R$1:$S$100,2,FALSE), " ")</f>
        <v xml:space="preserve"> </v>
      </c>
      <c r="R181" s="32"/>
      <c r="S181" s="32"/>
      <c r="T181" s="53"/>
      <c r="U181" s="21" t="str">
        <f>IFERROR(VLOOKUP(May[[#This Row],[Drug Name2]],'Data Options'!$R$1:$S$100,2,FALSE), " ")</f>
        <v xml:space="preserve"> </v>
      </c>
      <c r="V181" s="32"/>
      <c r="W181" s="32"/>
      <c r="X181" s="53"/>
      <c r="Y181" s="21" t="str">
        <f>IFERROR(VLOOKUP(May[[#This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21" t="str">
        <f>IFERROR(VLOOKUP(May[[#This Row],[Drug Name4]],'Data Options'!$R$1:$S$100,2,FALSE), " ")</f>
        <v xml:space="preserve"> </v>
      </c>
      <c r="AI181" s="32"/>
      <c r="AJ181" s="32"/>
      <c r="AK181" s="53"/>
      <c r="AL181" s="21" t="str">
        <f>IFERROR(VLOOKUP(May[[#This Row],[Drug Name5]],'Data Options'!$R$1:$S$100,2,FALSE), " ")</f>
        <v xml:space="preserve"> </v>
      </c>
      <c r="AM181" s="32"/>
      <c r="AN181" s="32"/>
      <c r="AO181" s="53"/>
      <c r="AP181" s="21" t="str">
        <f>IFERROR(VLOOKUP(May[[#This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21" t="str">
        <f>IFERROR(VLOOKUP(May[[#This Row],[Drug Name7]],'Data Options'!$R$1:$S$100,2,FALSE), " ")</f>
        <v xml:space="preserve"> </v>
      </c>
      <c r="AZ181" s="32"/>
      <c r="BA181" s="32"/>
      <c r="BB181" s="53"/>
      <c r="BC181" s="21" t="str">
        <f>IFERROR(VLOOKUP(May[[#This Row],[Drug Name8]],'Data Options'!$R$1:$S$100,2,FALSE), " ")</f>
        <v xml:space="preserve"> </v>
      </c>
      <c r="BD181" s="32"/>
      <c r="BE181" s="32"/>
      <c r="BF181" s="53"/>
      <c r="BG181" s="21" t="str">
        <f>IFERROR(VLOOKUP(May[[#This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21" t="str">
        <f>IFERROR(VLOOKUP(May[[#This Row],[Drug Name]],'Data Options'!$R$1:$S$100,2,FALSE), " ")</f>
        <v xml:space="preserve"> </v>
      </c>
      <c r="R182" s="32"/>
      <c r="S182" s="32"/>
      <c r="T182" s="53"/>
      <c r="U182" s="21" t="str">
        <f>IFERROR(VLOOKUP(May[[#This Row],[Drug Name2]],'Data Options'!$R$1:$S$100,2,FALSE), " ")</f>
        <v xml:space="preserve"> </v>
      </c>
      <c r="V182" s="32"/>
      <c r="W182" s="32"/>
      <c r="X182" s="53"/>
      <c r="Y182" s="21" t="str">
        <f>IFERROR(VLOOKUP(May[[#This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21" t="str">
        <f>IFERROR(VLOOKUP(May[[#This Row],[Drug Name4]],'Data Options'!$R$1:$S$100,2,FALSE), " ")</f>
        <v xml:space="preserve"> </v>
      </c>
      <c r="AI182" s="32"/>
      <c r="AJ182" s="32"/>
      <c r="AK182" s="53"/>
      <c r="AL182" s="21" t="str">
        <f>IFERROR(VLOOKUP(May[[#This Row],[Drug Name5]],'Data Options'!$R$1:$S$100,2,FALSE), " ")</f>
        <v xml:space="preserve"> </v>
      </c>
      <c r="AM182" s="32"/>
      <c r="AN182" s="32"/>
      <c r="AO182" s="53"/>
      <c r="AP182" s="21" t="str">
        <f>IFERROR(VLOOKUP(May[[#This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21" t="str">
        <f>IFERROR(VLOOKUP(May[[#This Row],[Drug Name7]],'Data Options'!$R$1:$S$100,2,FALSE), " ")</f>
        <v xml:space="preserve"> </v>
      </c>
      <c r="AZ182" s="32"/>
      <c r="BA182" s="32"/>
      <c r="BB182" s="53"/>
      <c r="BC182" s="21" t="str">
        <f>IFERROR(VLOOKUP(May[[#This Row],[Drug Name8]],'Data Options'!$R$1:$S$100,2,FALSE), " ")</f>
        <v xml:space="preserve"> </v>
      </c>
      <c r="BD182" s="32"/>
      <c r="BE182" s="32"/>
      <c r="BF182" s="53"/>
      <c r="BG182" s="21" t="str">
        <f>IFERROR(VLOOKUP(May[[#This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21" t="str">
        <f>IFERROR(VLOOKUP(May[[#This Row],[Drug Name]],'Data Options'!$R$1:$S$100,2,FALSE), " ")</f>
        <v xml:space="preserve"> </v>
      </c>
      <c r="R183" s="32"/>
      <c r="S183" s="32"/>
      <c r="T183" s="53"/>
      <c r="U183" s="21" t="str">
        <f>IFERROR(VLOOKUP(May[[#This Row],[Drug Name2]],'Data Options'!$R$1:$S$100,2,FALSE), " ")</f>
        <v xml:space="preserve"> </v>
      </c>
      <c r="V183" s="32"/>
      <c r="W183" s="32"/>
      <c r="X183" s="53"/>
      <c r="Y183" s="21" t="str">
        <f>IFERROR(VLOOKUP(May[[#This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21" t="str">
        <f>IFERROR(VLOOKUP(May[[#This Row],[Drug Name4]],'Data Options'!$R$1:$S$100,2,FALSE), " ")</f>
        <v xml:space="preserve"> </v>
      </c>
      <c r="AI183" s="32"/>
      <c r="AJ183" s="32"/>
      <c r="AK183" s="53"/>
      <c r="AL183" s="21" t="str">
        <f>IFERROR(VLOOKUP(May[[#This Row],[Drug Name5]],'Data Options'!$R$1:$S$100,2,FALSE), " ")</f>
        <v xml:space="preserve"> </v>
      </c>
      <c r="AM183" s="32"/>
      <c r="AN183" s="32"/>
      <c r="AO183" s="53"/>
      <c r="AP183" s="21" t="str">
        <f>IFERROR(VLOOKUP(May[[#This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21" t="str">
        <f>IFERROR(VLOOKUP(May[[#This Row],[Drug Name7]],'Data Options'!$R$1:$S$100,2,FALSE), " ")</f>
        <v xml:space="preserve"> </v>
      </c>
      <c r="AZ183" s="32"/>
      <c r="BA183" s="32"/>
      <c r="BB183" s="53"/>
      <c r="BC183" s="21" t="str">
        <f>IFERROR(VLOOKUP(May[[#This Row],[Drug Name8]],'Data Options'!$R$1:$S$100,2,FALSE), " ")</f>
        <v xml:space="preserve"> </v>
      </c>
      <c r="BD183" s="32"/>
      <c r="BE183" s="32"/>
      <c r="BF183" s="53"/>
      <c r="BG183" s="21" t="str">
        <f>IFERROR(VLOOKUP(May[[#This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21" t="str">
        <f>IFERROR(VLOOKUP(May[[#This Row],[Drug Name]],'Data Options'!$R$1:$S$100,2,FALSE), " ")</f>
        <v xml:space="preserve"> </v>
      </c>
      <c r="R184" s="32"/>
      <c r="S184" s="32"/>
      <c r="T184" s="53"/>
      <c r="U184" s="21" t="str">
        <f>IFERROR(VLOOKUP(May[[#This Row],[Drug Name2]],'Data Options'!$R$1:$S$100,2,FALSE), " ")</f>
        <v xml:space="preserve"> </v>
      </c>
      <c r="V184" s="32"/>
      <c r="W184" s="32"/>
      <c r="X184" s="53"/>
      <c r="Y184" s="21" t="str">
        <f>IFERROR(VLOOKUP(May[[#This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21" t="str">
        <f>IFERROR(VLOOKUP(May[[#This Row],[Drug Name4]],'Data Options'!$R$1:$S$100,2,FALSE), " ")</f>
        <v xml:space="preserve"> </v>
      </c>
      <c r="AI184" s="32"/>
      <c r="AJ184" s="32"/>
      <c r="AK184" s="53"/>
      <c r="AL184" s="21" t="str">
        <f>IFERROR(VLOOKUP(May[[#This Row],[Drug Name5]],'Data Options'!$R$1:$S$100,2,FALSE), " ")</f>
        <v xml:space="preserve"> </v>
      </c>
      <c r="AM184" s="32"/>
      <c r="AN184" s="32"/>
      <c r="AO184" s="53"/>
      <c r="AP184" s="21" t="str">
        <f>IFERROR(VLOOKUP(May[[#This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21" t="str">
        <f>IFERROR(VLOOKUP(May[[#This Row],[Drug Name7]],'Data Options'!$R$1:$S$100,2,FALSE), " ")</f>
        <v xml:space="preserve"> </v>
      </c>
      <c r="AZ184" s="32"/>
      <c r="BA184" s="32"/>
      <c r="BB184" s="53"/>
      <c r="BC184" s="21" t="str">
        <f>IFERROR(VLOOKUP(May[[#This Row],[Drug Name8]],'Data Options'!$R$1:$S$100,2,FALSE), " ")</f>
        <v xml:space="preserve"> </v>
      </c>
      <c r="BD184" s="32"/>
      <c r="BE184" s="32"/>
      <c r="BF184" s="53"/>
      <c r="BG184" s="21" t="str">
        <f>IFERROR(VLOOKUP(May[[#This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21" t="str">
        <f>IFERROR(VLOOKUP(May[[#This Row],[Drug Name]],'Data Options'!$R$1:$S$100,2,FALSE), " ")</f>
        <v xml:space="preserve"> </v>
      </c>
      <c r="R185" s="32"/>
      <c r="S185" s="32"/>
      <c r="T185" s="53"/>
      <c r="U185" s="21" t="str">
        <f>IFERROR(VLOOKUP(May[[#This Row],[Drug Name2]],'Data Options'!$R$1:$S$100,2,FALSE), " ")</f>
        <v xml:space="preserve"> </v>
      </c>
      <c r="V185" s="32"/>
      <c r="W185" s="32"/>
      <c r="X185" s="53"/>
      <c r="Y185" s="21" t="str">
        <f>IFERROR(VLOOKUP(May[[#This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21" t="str">
        <f>IFERROR(VLOOKUP(May[[#This Row],[Drug Name4]],'Data Options'!$R$1:$S$100,2,FALSE), " ")</f>
        <v xml:space="preserve"> </v>
      </c>
      <c r="AI185" s="32"/>
      <c r="AJ185" s="32"/>
      <c r="AK185" s="53"/>
      <c r="AL185" s="21" t="str">
        <f>IFERROR(VLOOKUP(May[[#This Row],[Drug Name5]],'Data Options'!$R$1:$S$100,2,FALSE), " ")</f>
        <v xml:space="preserve"> </v>
      </c>
      <c r="AM185" s="32"/>
      <c r="AN185" s="32"/>
      <c r="AO185" s="53"/>
      <c r="AP185" s="21" t="str">
        <f>IFERROR(VLOOKUP(May[[#This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21" t="str">
        <f>IFERROR(VLOOKUP(May[[#This Row],[Drug Name7]],'Data Options'!$R$1:$S$100,2,FALSE), " ")</f>
        <v xml:space="preserve"> </v>
      </c>
      <c r="AZ185" s="32"/>
      <c r="BA185" s="32"/>
      <c r="BB185" s="53"/>
      <c r="BC185" s="21" t="str">
        <f>IFERROR(VLOOKUP(May[[#This Row],[Drug Name8]],'Data Options'!$R$1:$S$100,2,FALSE), " ")</f>
        <v xml:space="preserve"> </v>
      </c>
      <c r="BD185" s="32"/>
      <c r="BE185" s="32"/>
      <c r="BF185" s="53"/>
      <c r="BG185" s="21" t="str">
        <f>IFERROR(VLOOKUP(May[[#This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21" t="str">
        <f>IFERROR(VLOOKUP(May[[#This Row],[Drug Name]],'Data Options'!$R$1:$S$100,2,FALSE), " ")</f>
        <v xml:space="preserve"> </v>
      </c>
      <c r="R186" s="32"/>
      <c r="S186" s="32"/>
      <c r="T186" s="53"/>
      <c r="U186" s="21" t="str">
        <f>IFERROR(VLOOKUP(May[[#This Row],[Drug Name2]],'Data Options'!$R$1:$S$100,2,FALSE), " ")</f>
        <v xml:space="preserve"> </v>
      </c>
      <c r="V186" s="32"/>
      <c r="W186" s="32"/>
      <c r="X186" s="53"/>
      <c r="Y186" s="21" t="str">
        <f>IFERROR(VLOOKUP(May[[#This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21" t="str">
        <f>IFERROR(VLOOKUP(May[[#This Row],[Drug Name4]],'Data Options'!$R$1:$S$100,2,FALSE), " ")</f>
        <v xml:space="preserve"> </v>
      </c>
      <c r="AI186" s="32"/>
      <c r="AJ186" s="32"/>
      <c r="AK186" s="53"/>
      <c r="AL186" s="21" t="str">
        <f>IFERROR(VLOOKUP(May[[#This Row],[Drug Name5]],'Data Options'!$R$1:$S$100,2,FALSE), " ")</f>
        <v xml:space="preserve"> </v>
      </c>
      <c r="AM186" s="32"/>
      <c r="AN186" s="32"/>
      <c r="AO186" s="53"/>
      <c r="AP186" s="21" t="str">
        <f>IFERROR(VLOOKUP(May[[#This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21" t="str">
        <f>IFERROR(VLOOKUP(May[[#This Row],[Drug Name7]],'Data Options'!$R$1:$S$100,2,FALSE), " ")</f>
        <v xml:space="preserve"> </v>
      </c>
      <c r="AZ186" s="32"/>
      <c r="BA186" s="32"/>
      <c r="BB186" s="53"/>
      <c r="BC186" s="21" t="str">
        <f>IFERROR(VLOOKUP(May[[#This Row],[Drug Name8]],'Data Options'!$R$1:$S$100,2,FALSE), " ")</f>
        <v xml:space="preserve"> </v>
      </c>
      <c r="BD186" s="32"/>
      <c r="BE186" s="32"/>
      <c r="BF186" s="53"/>
      <c r="BG186" s="21" t="str">
        <f>IFERROR(VLOOKUP(May[[#This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21" t="str">
        <f>IFERROR(VLOOKUP(May[[#This Row],[Drug Name]],'Data Options'!$R$1:$S$100,2,FALSE), " ")</f>
        <v xml:space="preserve"> </v>
      </c>
      <c r="R187" s="32"/>
      <c r="S187" s="32"/>
      <c r="T187" s="53"/>
      <c r="U187" s="21" t="str">
        <f>IFERROR(VLOOKUP(May[[#This Row],[Drug Name2]],'Data Options'!$R$1:$S$100,2,FALSE), " ")</f>
        <v xml:space="preserve"> </v>
      </c>
      <c r="V187" s="32"/>
      <c r="W187" s="32"/>
      <c r="X187" s="53"/>
      <c r="Y187" s="21" t="str">
        <f>IFERROR(VLOOKUP(May[[#This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21" t="str">
        <f>IFERROR(VLOOKUP(May[[#This Row],[Drug Name4]],'Data Options'!$R$1:$S$100,2,FALSE), " ")</f>
        <v xml:space="preserve"> </v>
      </c>
      <c r="AI187" s="32"/>
      <c r="AJ187" s="32"/>
      <c r="AK187" s="53"/>
      <c r="AL187" s="21" t="str">
        <f>IFERROR(VLOOKUP(May[[#This Row],[Drug Name5]],'Data Options'!$R$1:$S$100,2,FALSE), " ")</f>
        <v xml:space="preserve"> </v>
      </c>
      <c r="AM187" s="32"/>
      <c r="AN187" s="32"/>
      <c r="AO187" s="53"/>
      <c r="AP187" s="21" t="str">
        <f>IFERROR(VLOOKUP(May[[#This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21" t="str">
        <f>IFERROR(VLOOKUP(May[[#This Row],[Drug Name7]],'Data Options'!$R$1:$S$100,2,FALSE), " ")</f>
        <v xml:space="preserve"> </v>
      </c>
      <c r="AZ187" s="32"/>
      <c r="BA187" s="32"/>
      <c r="BB187" s="53"/>
      <c r="BC187" s="21" t="str">
        <f>IFERROR(VLOOKUP(May[[#This Row],[Drug Name8]],'Data Options'!$R$1:$S$100,2,FALSE), " ")</f>
        <v xml:space="preserve"> </v>
      </c>
      <c r="BD187" s="32"/>
      <c r="BE187" s="32"/>
      <c r="BF187" s="53"/>
      <c r="BG187" s="21" t="str">
        <f>IFERROR(VLOOKUP(May[[#This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21" t="str">
        <f>IFERROR(VLOOKUP(May[[#This Row],[Drug Name]],'Data Options'!$R$1:$S$100,2,FALSE), " ")</f>
        <v xml:space="preserve"> </v>
      </c>
      <c r="R188" s="32"/>
      <c r="S188" s="32"/>
      <c r="T188" s="53"/>
      <c r="U188" s="21" t="str">
        <f>IFERROR(VLOOKUP(May[[#This Row],[Drug Name2]],'Data Options'!$R$1:$S$100,2,FALSE), " ")</f>
        <v xml:space="preserve"> </v>
      </c>
      <c r="V188" s="32"/>
      <c r="W188" s="32"/>
      <c r="X188" s="53"/>
      <c r="Y188" s="21" t="str">
        <f>IFERROR(VLOOKUP(May[[#This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21" t="str">
        <f>IFERROR(VLOOKUP(May[[#This Row],[Drug Name4]],'Data Options'!$R$1:$S$100,2,FALSE), " ")</f>
        <v xml:space="preserve"> </v>
      </c>
      <c r="AI188" s="32"/>
      <c r="AJ188" s="32"/>
      <c r="AK188" s="53"/>
      <c r="AL188" s="21" t="str">
        <f>IFERROR(VLOOKUP(May[[#This Row],[Drug Name5]],'Data Options'!$R$1:$S$100,2,FALSE), " ")</f>
        <v xml:space="preserve"> </v>
      </c>
      <c r="AM188" s="32"/>
      <c r="AN188" s="32"/>
      <c r="AO188" s="53"/>
      <c r="AP188" s="21" t="str">
        <f>IFERROR(VLOOKUP(May[[#This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21" t="str">
        <f>IFERROR(VLOOKUP(May[[#This Row],[Drug Name7]],'Data Options'!$R$1:$S$100,2,FALSE), " ")</f>
        <v xml:space="preserve"> </v>
      </c>
      <c r="AZ188" s="32"/>
      <c r="BA188" s="32"/>
      <c r="BB188" s="53"/>
      <c r="BC188" s="21" t="str">
        <f>IFERROR(VLOOKUP(May[[#This Row],[Drug Name8]],'Data Options'!$R$1:$S$100,2,FALSE), " ")</f>
        <v xml:space="preserve"> </v>
      </c>
      <c r="BD188" s="32"/>
      <c r="BE188" s="32"/>
      <c r="BF188" s="53"/>
      <c r="BG188" s="21" t="str">
        <f>IFERROR(VLOOKUP(May[[#This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21" t="str">
        <f>IFERROR(VLOOKUP(May[[#This Row],[Drug Name]],'Data Options'!$R$1:$S$100,2,FALSE), " ")</f>
        <v xml:space="preserve"> </v>
      </c>
      <c r="R189" s="32"/>
      <c r="S189" s="32"/>
      <c r="T189" s="53"/>
      <c r="U189" s="21" t="str">
        <f>IFERROR(VLOOKUP(May[[#This Row],[Drug Name2]],'Data Options'!$R$1:$S$100,2,FALSE), " ")</f>
        <v xml:space="preserve"> </v>
      </c>
      <c r="V189" s="32"/>
      <c r="W189" s="32"/>
      <c r="X189" s="53"/>
      <c r="Y189" s="21" t="str">
        <f>IFERROR(VLOOKUP(May[[#This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21" t="str">
        <f>IFERROR(VLOOKUP(May[[#This Row],[Drug Name4]],'Data Options'!$R$1:$S$100,2,FALSE), " ")</f>
        <v xml:space="preserve"> </v>
      </c>
      <c r="AI189" s="32"/>
      <c r="AJ189" s="32"/>
      <c r="AK189" s="53"/>
      <c r="AL189" s="21" t="str">
        <f>IFERROR(VLOOKUP(May[[#This Row],[Drug Name5]],'Data Options'!$R$1:$S$100,2,FALSE), " ")</f>
        <v xml:space="preserve"> </v>
      </c>
      <c r="AM189" s="32"/>
      <c r="AN189" s="32"/>
      <c r="AO189" s="53"/>
      <c r="AP189" s="21" t="str">
        <f>IFERROR(VLOOKUP(May[[#This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21" t="str">
        <f>IFERROR(VLOOKUP(May[[#This Row],[Drug Name7]],'Data Options'!$R$1:$S$100,2,FALSE), " ")</f>
        <v xml:space="preserve"> </v>
      </c>
      <c r="AZ189" s="32"/>
      <c r="BA189" s="32"/>
      <c r="BB189" s="53"/>
      <c r="BC189" s="21" t="str">
        <f>IFERROR(VLOOKUP(May[[#This Row],[Drug Name8]],'Data Options'!$R$1:$S$100,2,FALSE), " ")</f>
        <v xml:space="preserve"> </v>
      </c>
      <c r="BD189" s="32"/>
      <c r="BE189" s="32"/>
      <c r="BF189" s="53"/>
      <c r="BG189" s="21" t="str">
        <f>IFERROR(VLOOKUP(May[[#This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21" t="str">
        <f>IFERROR(VLOOKUP(May[[#This Row],[Drug Name]],'Data Options'!$R$1:$S$100,2,FALSE), " ")</f>
        <v xml:space="preserve"> </v>
      </c>
      <c r="R190" s="32"/>
      <c r="S190" s="32"/>
      <c r="T190" s="53"/>
      <c r="U190" s="21" t="str">
        <f>IFERROR(VLOOKUP(May[[#This Row],[Drug Name2]],'Data Options'!$R$1:$S$100,2,FALSE), " ")</f>
        <v xml:space="preserve"> </v>
      </c>
      <c r="V190" s="32"/>
      <c r="W190" s="32"/>
      <c r="X190" s="53"/>
      <c r="Y190" s="21" t="str">
        <f>IFERROR(VLOOKUP(May[[#This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21" t="str">
        <f>IFERROR(VLOOKUP(May[[#This Row],[Drug Name4]],'Data Options'!$R$1:$S$100,2,FALSE), " ")</f>
        <v xml:space="preserve"> </v>
      </c>
      <c r="AI190" s="32"/>
      <c r="AJ190" s="32"/>
      <c r="AK190" s="53"/>
      <c r="AL190" s="21" t="str">
        <f>IFERROR(VLOOKUP(May[[#This Row],[Drug Name5]],'Data Options'!$R$1:$S$100,2,FALSE), " ")</f>
        <v xml:space="preserve"> </v>
      </c>
      <c r="AM190" s="32"/>
      <c r="AN190" s="32"/>
      <c r="AO190" s="53"/>
      <c r="AP190" s="21" t="str">
        <f>IFERROR(VLOOKUP(May[[#This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21" t="str">
        <f>IFERROR(VLOOKUP(May[[#This Row],[Drug Name7]],'Data Options'!$R$1:$S$100,2,FALSE), " ")</f>
        <v xml:space="preserve"> </v>
      </c>
      <c r="AZ190" s="32"/>
      <c r="BA190" s="32"/>
      <c r="BB190" s="53"/>
      <c r="BC190" s="21" t="str">
        <f>IFERROR(VLOOKUP(May[[#This Row],[Drug Name8]],'Data Options'!$R$1:$S$100,2,FALSE), " ")</f>
        <v xml:space="preserve"> </v>
      </c>
      <c r="BD190" s="32"/>
      <c r="BE190" s="32"/>
      <c r="BF190" s="53"/>
      <c r="BG190" s="21" t="str">
        <f>IFERROR(VLOOKUP(May[[#This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21" t="str">
        <f>IFERROR(VLOOKUP(May[[#This Row],[Drug Name]],'Data Options'!$R$1:$S$100,2,FALSE), " ")</f>
        <v xml:space="preserve"> </v>
      </c>
      <c r="R191" s="32"/>
      <c r="S191" s="32"/>
      <c r="T191" s="53"/>
      <c r="U191" s="21" t="str">
        <f>IFERROR(VLOOKUP(May[[#This Row],[Drug Name2]],'Data Options'!$R$1:$S$100,2,FALSE), " ")</f>
        <v xml:space="preserve"> </v>
      </c>
      <c r="V191" s="32"/>
      <c r="W191" s="32"/>
      <c r="X191" s="53"/>
      <c r="Y191" s="21" t="str">
        <f>IFERROR(VLOOKUP(May[[#This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21" t="str">
        <f>IFERROR(VLOOKUP(May[[#This Row],[Drug Name4]],'Data Options'!$R$1:$S$100,2,FALSE), " ")</f>
        <v xml:space="preserve"> </v>
      </c>
      <c r="AI191" s="32"/>
      <c r="AJ191" s="32"/>
      <c r="AK191" s="53"/>
      <c r="AL191" s="21" t="str">
        <f>IFERROR(VLOOKUP(May[[#This Row],[Drug Name5]],'Data Options'!$R$1:$S$100,2,FALSE), " ")</f>
        <v xml:space="preserve"> </v>
      </c>
      <c r="AM191" s="32"/>
      <c r="AN191" s="32"/>
      <c r="AO191" s="53"/>
      <c r="AP191" s="21" t="str">
        <f>IFERROR(VLOOKUP(May[[#This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21" t="str">
        <f>IFERROR(VLOOKUP(May[[#This Row],[Drug Name7]],'Data Options'!$R$1:$S$100,2,FALSE), " ")</f>
        <v xml:space="preserve"> </v>
      </c>
      <c r="AZ191" s="32"/>
      <c r="BA191" s="32"/>
      <c r="BB191" s="53"/>
      <c r="BC191" s="21" t="str">
        <f>IFERROR(VLOOKUP(May[[#This Row],[Drug Name8]],'Data Options'!$R$1:$S$100,2,FALSE), " ")</f>
        <v xml:space="preserve"> </v>
      </c>
      <c r="BD191" s="32"/>
      <c r="BE191" s="32"/>
      <c r="BF191" s="53"/>
      <c r="BG191" s="21" t="str">
        <f>IFERROR(VLOOKUP(May[[#This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21" t="str">
        <f>IFERROR(VLOOKUP(May[[#This Row],[Drug Name]],'Data Options'!$R$1:$S$100,2,FALSE), " ")</f>
        <v xml:space="preserve"> </v>
      </c>
      <c r="R192" s="32"/>
      <c r="S192" s="32"/>
      <c r="T192" s="53"/>
      <c r="U192" s="21" t="str">
        <f>IFERROR(VLOOKUP(May[[#This Row],[Drug Name2]],'Data Options'!$R$1:$S$100,2,FALSE), " ")</f>
        <v xml:space="preserve"> </v>
      </c>
      <c r="V192" s="32"/>
      <c r="W192" s="32"/>
      <c r="X192" s="53"/>
      <c r="Y192" s="21" t="str">
        <f>IFERROR(VLOOKUP(May[[#This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21" t="str">
        <f>IFERROR(VLOOKUP(May[[#This Row],[Drug Name4]],'Data Options'!$R$1:$S$100,2,FALSE), " ")</f>
        <v xml:space="preserve"> </v>
      </c>
      <c r="AI192" s="32"/>
      <c r="AJ192" s="32"/>
      <c r="AK192" s="53"/>
      <c r="AL192" s="21" t="str">
        <f>IFERROR(VLOOKUP(May[[#This Row],[Drug Name5]],'Data Options'!$R$1:$S$100,2,FALSE), " ")</f>
        <v xml:space="preserve"> </v>
      </c>
      <c r="AM192" s="32"/>
      <c r="AN192" s="32"/>
      <c r="AO192" s="53"/>
      <c r="AP192" s="21" t="str">
        <f>IFERROR(VLOOKUP(May[[#This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21" t="str">
        <f>IFERROR(VLOOKUP(May[[#This Row],[Drug Name7]],'Data Options'!$R$1:$S$100,2,FALSE), " ")</f>
        <v xml:space="preserve"> </v>
      </c>
      <c r="AZ192" s="32"/>
      <c r="BA192" s="32"/>
      <c r="BB192" s="53"/>
      <c r="BC192" s="21" t="str">
        <f>IFERROR(VLOOKUP(May[[#This Row],[Drug Name8]],'Data Options'!$R$1:$S$100,2,FALSE), " ")</f>
        <v xml:space="preserve"> </v>
      </c>
      <c r="BD192" s="32"/>
      <c r="BE192" s="32"/>
      <c r="BF192" s="53"/>
      <c r="BG192" s="21" t="str">
        <f>IFERROR(VLOOKUP(May[[#This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21" t="str">
        <f>IFERROR(VLOOKUP(May[[#This Row],[Drug Name]],'Data Options'!$R$1:$S$100,2,FALSE), " ")</f>
        <v xml:space="preserve"> </v>
      </c>
      <c r="R193" s="32"/>
      <c r="S193" s="32"/>
      <c r="T193" s="53"/>
      <c r="U193" s="21" t="str">
        <f>IFERROR(VLOOKUP(May[[#This Row],[Drug Name2]],'Data Options'!$R$1:$S$100,2,FALSE), " ")</f>
        <v xml:space="preserve"> </v>
      </c>
      <c r="V193" s="32"/>
      <c r="W193" s="32"/>
      <c r="X193" s="53"/>
      <c r="Y193" s="21" t="str">
        <f>IFERROR(VLOOKUP(May[[#This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21" t="str">
        <f>IFERROR(VLOOKUP(May[[#This Row],[Drug Name4]],'Data Options'!$R$1:$S$100,2,FALSE), " ")</f>
        <v xml:space="preserve"> </v>
      </c>
      <c r="AI193" s="32"/>
      <c r="AJ193" s="32"/>
      <c r="AK193" s="53"/>
      <c r="AL193" s="21" t="str">
        <f>IFERROR(VLOOKUP(May[[#This Row],[Drug Name5]],'Data Options'!$R$1:$S$100,2,FALSE), " ")</f>
        <v xml:space="preserve"> </v>
      </c>
      <c r="AM193" s="32"/>
      <c r="AN193" s="32"/>
      <c r="AO193" s="53"/>
      <c r="AP193" s="21" t="str">
        <f>IFERROR(VLOOKUP(May[[#This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21" t="str">
        <f>IFERROR(VLOOKUP(May[[#This Row],[Drug Name7]],'Data Options'!$R$1:$S$100,2,FALSE), " ")</f>
        <v xml:space="preserve"> </v>
      </c>
      <c r="AZ193" s="32"/>
      <c r="BA193" s="32"/>
      <c r="BB193" s="53"/>
      <c r="BC193" s="21" t="str">
        <f>IFERROR(VLOOKUP(May[[#This Row],[Drug Name8]],'Data Options'!$R$1:$S$100,2,FALSE), " ")</f>
        <v xml:space="preserve"> </v>
      </c>
      <c r="BD193" s="32"/>
      <c r="BE193" s="32"/>
      <c r="BF193" s="53"/>
      <c r="BG193" s="21" t="str">
        <f>IFERROR(VLOOKUP(May[[#This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21" t="str">
        <f>IFERROR(VLOOKUP(May[[#This Row],[Drug Name]],'Data Options'!$R$1:$S$100,2,FALSE), " ")</f>
        <v xml:space="preserve"> </v>
      </c>
      <c r="R194" s="32"/>
      <c r="S194" s="32"/>
      <c r="T194" s="53"/>
      <c r="U194" s="21" t="str">
        <f>IFERROR(VLOOKUP(May[[#This Row],[Drug Name2]],'Data Options'!$R$1:$S$100,2,FALSE), " ")</f>
        <v xml:space="preserve"> </v>
      </c>
      <c r="V194" s="32"/>
      <c r="W194" s="32"/>
      <c r="X194" s="53"/>
      <c r="Y194" s="21" t="str">
        <f>IFERROR(VLOOKUP(May[[#This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21" t="str">
        <f>IFERROR(VLOOKUP(May[[#This Row],[Drug Name4]],'Data Options'!$R$1:$S$100,2,FALSE), " ")</f>
        <v xml:space="preserve"> </v>
      </c>
      <c r="AI194" s="32"/>
      <c r="AJ194" s="32"/>
      <c r="AK194" s="53"/>
      <c r="AL194" s="21" t="str">
        <f>IFERROR(VLOOKUP(May[[#This Row],[Drug Name5]],'Data Options'!$R$1:$S$100,2,FALSE), " ")</f>
        <v xml:space="preserve"> </v>
      </c>
      <c r="AM194" s="32"/>
      <c r="AN194" s="32"/>
      <c r="AO194" s="53"/>
      <c r="AP194" s="21" t="str">
        <f>IFERROR(VLOOKUP(May[[#This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21" t="str">
        <f>IFERROR(VLOOKUP(May[[#This Row],[Drug Name7]],'Data Options'!$R$1:$S$100,2,FALSE), " ")</f>
        <v xml:space="preserve"> </v>
      </c>
      <c r="AZ194" s="32"/>
      <c r="BA194" s="32"/>
      <c r="BB194" s="53"/>
      <c r="BC194" s="21" t="str">
        <f>IFERROR(VLOOKUP(May[[#This Row],[Drug Name8]],'Data Options'!$R$1:$S$100,2,FALSE), " ")</f>
        <v xml:space="preserve"> </v>
      </c>
      <c r="BD194" s="32"/>
      <c r="BE194" s="32"/>
      <c r="BF194" s="53"/>
      <c r="BG194" s="21" t="str">
        <f>IFERROR(VLOOKUP(May[[#This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21" t="str">
        <f>IFERROR(VLOOKUP(May[[#This Row],[Drug Name]],'Data Options'!$R$1:$S$100,2,FALSE), " ")</f>
        <v xml:space="preserve"> </v>
      </c>
      <c r="R195" s="32"/>
      <c r="S195" s="32"/>
      <c r="T195" s="53"/>
      <c r="U195" s="21" t="str">
        <f>IFERROR(VLOOKUP(May[[#This Row],[Drug Name2]],'Data Options'!$R$1:$S$100,2,FALSE), " ")</f>
        <v xml:space="preserve"> </v>
      </c>
      <c r="V195" s="32"/>
      <c r="W195" s="32"/>
      <c r="X195" s="53"/>
      <c r="Y195" s="21" t="str">
        <f>IFERROR(VLOOKUP(May[[#This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21" t="str">
        <f>IFERROR(VLOOKUP(May[[#This Row],[Drug Name4]],'Data Options'!$R$1:$S$100,2,FALSE), " ")</f>
        <v xml:space="preserve"> </v>
      </c>
      <c r="AI195" s="32"/>
      <c r="AJ195" s="32"/>
      <c r="AK195" s="53"/>
      <c r="AL195" s="21" t="str">
        <f>IFERROR(VLOOKUP(May[[#This Row],[Drug Name5]],'Data Options'!$R$1:$S$100,2,FALSE), " ")</f>
        <v xml:space="preserve"> </v>
      </c>
      <c r="AM195" s="32"/>
      <c r="AN195" s="32"/>
      <c r="AO195" s="53"/>
      <c r="AP195" s="21" t="str">
        <f>IFERROR(VLOOKUP(May[[#This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21" t="str">
        <f>IFERROR(VLOOKUP(May[[#This Row],[Drug Name7]],'Data Options'!$R$1:$S$100,2,FALSE), " ")</f>
        <v xml:space="preserve"> </v>
      </c>
      <c r="AZ195" s="32"/>
      <c r="BA195" s="32"/>
      <c r="BB195" s="53"/>
      <c r="BC195" s="21" t="str">
        <f>IFERROR(VLOOKUP(May[[#This Row],[Drug Name8]],'Data Options'!$R$1:$S$100,2,FALSE), " ")</f>
        <v xml:space="preserve"> </v>
      </c>
      <c r="BD195" s="32"/>
      <c r="BE195" s="32"/>
      <c r="BF195" s="53"/>
      <c r="BG195" s="21" t="str">
        <f>IFERROR(VLOOKUP(May[[#This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21" t="str">
        <f>IFERROR(VLOOKUP(May[[#This Row],[Drug Name]],'Data Options'!$R$1:$S$100,2,FALSE), " ")</f>
        <v xml:space="preserve"> </v>
      </c>
      <c r="R196" s="32"/>
      <c r="S196" s="32"/>
      <c r="T196" s="53"/>
      <c r="U196" s="21" t="str">
        <f>IFERROR(VLOOKUP(May[[#This Row],[Drug Name2]],'Data Options'!$R$1:$S$100,2,FALSE), " ")</f>
        <v xml:space="preserve"> </v>
      </c>
      <c r="V196" s="32"/>
      <c r="W196" s="32"/>
      <c r="X196" s="53"/>
      <c r="Y196" s="21" t="str">
        <f>IFERROR(VLOOKUP(May[[#This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21" t="str">
        <f>IFERROR(VLOOKUP(May[[#This Row],[Drug Name4]],'Data Options'!$R$1:$S$100,2,FALSE), " ")</f>
        <v xml:space="preserve"> </v>
      </c>
      <c r="AI196" s="32"/>
      <c r="AJ196" s="32"/>
      <c r="AK196" s="53"/>
      <c r="AL196" s="21" t="str">
        <f>IFERROR(VLOOKUP(May[[#This Row],[Drug Name5]],'Data Options'!$R$1:$S$100,2,FALSE), " ")</f>
        <v xml:space="preserve"> </v>
      </c>
      <c r="AM196" s="32"/>
      <c r="AN196" s="32"/>
      <c r="AO196" s="53"/>
      <c r="AP196" s="21" t="str">
        <f>IFERROR(VLOOKUP(May[[#This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21" t="str">
        <f>IFERROR(VLOOKUP(May[[#This Row],[Drug Name7]],'Data Options'!$R$1:$S$100,2,FALSE), " ")</f>
        <v xml:space="preserve"> </v>
      </c>
      <c r="AZ196" s="32"/>
      <c r="BA196" s="32"/>
      <c r="BB196" s="53"/>
      <c r="BC196" s="21" t="str">
        <f>IFERROR(VLOOKUP(May[[#This Row],[Drug Name8]],'Data Options'!$R$1:$S$100,2,FALSE), " ")</f>
        <v xml:space="preserve"> </v>
      </c>
      <c r="BD196" s="32"/>
      <c r="BE196" s="32"/>
      <c r="BF196" s="53"/>
      <c r="BG196" s="21" t="str">
        <f>IFERROR(VLOOKUP(May[[#This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21" t="str">
        <f>IFERROR(VLOOKUP(May[[#This Row],[Drug Name]],'Data Options'!$R$1:$S$100,2,FALSE), " ")</f>
        <v xml:space="preserve"> </v>
      </c>
      <c r="R197" s="32"/>
      <c r="S197" s="32"/>
      <c r="T197" s="53"/>
      <c r="U197" s="21" t="str">
        <f>IFERROR(VLOOKUP(May[[#This Row],[Drug Name2]],'Data Options'!$R$1:$S$100,2,FALSE), " ")</f>
        <v xml:space="preserve"> </v>
      </c>
      <c r="V197" s="32"/>
      <c r="W197" s="32"/>
      <c r="X197" s="53"/>
      <c r="Y197" s="21" t="str">
        <f>IFERROR(VLOOKUP(May[[#This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21" t="str">
        <f>IFERROR(VLOOKUP(May[[#This Row],[Drug Name4]],'Data Options'!$R$1:$S$100,2,FALSE), " ")</f>
        <v xml:space="preserve"> </v>
      </c>
      <c r="AI197" s="32"/>
      <c r="AJ197" s="32"/>
      <c r="AK197" s="53"/>
      <c r="AL197" s="21" t="str">
        <f>IFERROR(VLOOKUP(May[[#This Row],[Drug Name5]],'Data Options'!$R$1:$S$100,2,FALSE), " ")</f>
        <v xml:space="preserve"> </v>
      </c>
      <c r="AM197" s="32"/>
      <c r="AN197" s="32"/>
      <c r="AO197" s="53"/>
      <c r="AP197" s="21" t="str">
        <f>IFERROR(VLOOKUP(May[[#This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21" t="str">
        <f>IFERROR(VLOOKUP(May[[#This Row],[Drug Name7]],'Data Options'!$R$1:$S$100,2,FALSE), " ")</f>
        <v xml:space="preserve"> </v>
      </c>
      <c r="AZ197" s="32"/>
      <c r="BA197" s="32"/>
      <c r="BB197" s="53"/>
      <c r="BC197" s="21" t="str">
        <f>IFERROR(VLOOKUP(May[[#This Row],[Drug Name8]],'Data Options'!$R$1:$S$100,2,FALSE), " ")</f>
        <v xml:space="preserve"> </v>
      </c>
      <c r="BD197" s="32"/>
      <c r="BE197" s="32"/>
      <c r="BF197" s="53"/>
      <c r="BG197" s="21" t="str">
        <f>IFERROR(VLOOKUP(May[[#This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21" t="str">
        <f>IFERROR(VLOOKUP(May[[#This Row],[Drug Name]],'Data Options'!$R$1:$S$100,2,FALSE), " ")</f>
        <v xml:space="preserve"> </v>
      </c>
      <c r="R198" s="32"/>
      <c r="S198" s="32"/>
      <c r="T198" s="53"/>
      <c r="U198" s="21" t="str">
        <f>IFERROR(VLOOKUP(May[[#This Row],[Drug Name2]],'Data Options'!$R$1:$S$100,2,FALSE), " ")</f>
        <v xml:space="preserve"> </v>
      </c>
      <c r="V198" s="32"/>
      <c r="W198" s="32"/>
      <c r="X198" s="53"/>
      <c r="Y198" s="21" t="str">
        <f>IFERROR(VLOOKUP(May[[#This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21" t="str">
        <f>IFERROR(VLOOKUP(May[[#This Row],[Drug Name4]],'Data Options'!$R$1:$S$100,2,FALSE), " ")</f>
        <v xml:space="preserve"> </v>
      </c>
      <c r="AI198" s="32"/>
      <c r="AJ198" s="32"/>
      <c r="AK198" s="53"/>
      <c r="AL198" s="21" t="str">
        <f>IFERROR(VLOOKUP(May[[#This Row],[Drug Name5]],'Data Options'!$R$1:$S$100,2,FALSE), " ")</f>
        <v xml:space="preserve"> </v>
      </c>
      <c r="AM198" s="32"/>
      <c r="AN198" s="32"/>
      <c r="AO198" s="53"/>
      <c r="AP198" s="21" t="str">
        <f>IFERROR(VLOOKUP(May[[#This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21" t="str">
        <f>IFERROR(VLOOKUP(May[[#This Row],[Drug Name7]],'Data Options'!$R$1:$S$100,2,FALSE), " ")</f>
        <v xml:space="preserve"> </v>
      </c>
      <c r="AZ198" s="32"/>
      <c r="BA198" s="32"/>
      <c r="BB198" s="53"/>
      <c r="BC198" s="21" t="str">
        <f>IFERROR(VLOOKUP(May[[#This Row],[Drug Name8]],'Data Options'!$R$1:$S$100,2,FALSE), " ")</f>
        <v xml:space="preserve"> </v>
      </c>
      <c r="BD198" s="32"/>
      <c r="BE198" s="32"/>
      <c r="BF198" s="53"/>
      <c r="BG198" s="21" t="str">
        <f>IFERROR(VLOOKUP(May[[#This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21" t="str">
        <f>IFERROR(VLOOKUP(May[[#This Row],[Drug Name]],'Data Options'!$R$1:$S$100,2,FALSE), " ")</f>
        <v xml:space="preserve"> </v>
      </c>
      <c r="R199" s="32"/>
      <c r="S199" s="32"/>
      <c r="T199" s="53"/>
      <c r="U199" s="21" t="str">
        <f>IFERROR(VLOOKUP(May[[#This Row],[Drug Name2]],'Data Options'!$R$1:$S$100,2,FALSE), " ")</f>
        <v xml:space="preserve"> </v>
      </c>
      <c r="V199" s="32"/>
      <c r="W199" s="32"/>
      <c r="X199" s="53"/>
      <c r="Y199" s="21" t="str">
        <f>IFERROR(VLOOKUP(May[[#This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21" t="str">
        <f>IFERROR(VLOOKUP(May[[#This Row],[Drug Name4]],'Data Options'!$R$1:$S$100,2,FALSE), " ")</f>
        <v xml:space="preserve"> </v>
      </c>
      <c r="AI199" s="32"/>
      <c r="AJ199" s="32"/>
      <c r="AK199" s="53"/>
      <c r="AL199" s="21" t="str">
        <f>IFERROR(VLOOKUP(May[[#This Row],[Drug Name5]],'Data Options'!$R$1:$S$100,2,FALSE), " ")</f>
        <v xml:space="preserve"> </v>
      </c>
      <c r="AM199" s="32"/>
      <c r="AN199" s="32"/>
      <c r="AO199" s="53"/>
      <c r="AP199" s="21" t="str">
        <f>IFERROR(VLOOKUP(May[[#This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21" t="str">
        <f>IFERROR(VLOOKUP(May[[#This Row],[Drug Name7]],'Data Options'!$R$1:$S$100,2,FALSE), " ")</f>
        <v xml:space="preserve"> </v>
      </c>
      <c r="AZ199" s="32"/>
      <c r="BA199" s="32"/>
      <c r="BB199" s="53"/>
      <c r="BC199" s="21" t="str">
        <f>IFERROR(VLOOKUP(May[[#This Row],[Drug Name8]],'Data Options'!$R$1:$S$100,2,FALSE), " ")</f>
        <v xml:space="preserve"> </v>
      </c>
      <c r="BD199" s="32"/>
      <c r="BE199" s="32"/>
      <c r="BF199" s="53"/>
      <c r="BG199" s="21" t="str">
        <f>IFERROR(VLOOKUP(May[[#This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21" t="str">
        <f>IFERROR(VLOOKUP(May[[#This Row],[Drug Name]],'Data Options'!$R$1:$S$100,2,FALSE), " ")</f>
        <v xml:space="preserve"> </v>
      </c>
      <c r="R200" s="32"/>
      <c r="S200" s="32"/>
      <c r="T200" s="53"/>
      <c r="U200" s="21" t="str">
        <f>IFERROR(VLOOKUP(May[[#This Row],[Drug Name2]],'Data Options'!$R$1:$S$100,2,FALSE), " ")</f>
        <v xml:space="preserve"> </v>
      </c>
      <c r="V200" s="32"/>
      <c r="W200" s="32"/>
      <c r="X200" s="53"/>
      <c r="Y200" s="21" t="str">
        <f>IFERROR(VLOOKUP(May[[#This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21" t="str">
        <f>IFERROR(VLOOKUP(May[[#This Row],[Drug Name4]],'Data Options'!$R$1:$S$100,2,FALSE), " ")</f>
        <v xml:space="preserve"> </v>
      </c>
      <c r="AI200" s="32"/>
      <c r="AJ200" s="32"/>
      <c r="AK200" s="53"/>
      <c r="AL200" s="21" t="str">
        <f>IFERROR(VLOOKUP(May[[#This Row],[Drug Name5]],'Data Options'!$R$1:$S$100,2,FALSE), " ")</f>
        <v xml:space="preserve"> </v>
      </c>
      <c r="AM200" s="32"/>
      <c r="AN200" s="32"/>
      <c r="AO200" s="53"/>
      <c r="AP200" s="21" t="str">
        <f>IFERROR(VLOOKUP(May[[#This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21" t="str">
        <f>IFERROR(VLOOKUP(May[[#This Row],[Drug Name7]],'Data Options'!$R$1:$S$100,2,FALSE), " ")</f>
        <v xml:space="preserve"> </v>
      </c>
      <c r="AZ200" s="32"/>
      <c r="BA200" s="32"/>
      <c r="BB200" s="53"/>
      <c r="BC200" s="21" t="str">
        <f>IFERROR(VLOOKUP(May[[#This Row],[Drug Name8]],'Data Options'!$R$1:$S$100,2,FALSE), " ")</f>
        <v xml:space="preserve"> </v>
      </c>
      <c r="BD200" s="32"/>
      <c r="BE200" s="32"/>
      <c r="BF200" s="53"/>
      <c r="BG200" s="21" t="str">
        <f>IFERROR(VLOOKUP(May[[#This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21" t="str">
        <f>IFERROR(VLOOKUP(May[[#This Row],[Drug Name]],'Data Options'!$R$1:$S$100,2,FALSE), " ")</f>
        <v xml:space="preserve"> </v>
      </c>
      <c r="R201" s="32"/>
      <c r="S201" s="32"/>
      <c r="T201" s="53"/>
      <c r="U201" s="21" t="str">
        <f>IFERROR(VLOOKUP(May[[#This Row],[Drug Name2]],'Data Options'!$R$1:$S$100,2,FALSE), " ")</f>
        <v xml:space="preserve"> </v>
      </c>
      <c r="V201" s="32"/>
      <c r="W201" s="32"/>
      <c r="X201" s="53"/>
      <c r="Y201" s="21" t="str">
        <f>IFERROR(VLOOKUP(May[[#This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21" t="str">
        <f>IFERROR(VLOOKUP(May[[#This Row],[Drug Name4]],'Data Options'!$R$1:$S$100,2,FALSE), " ")</f>
        <v xml:space="preserve"> </v>
      </c>
      <c r="AI201" s="32"/>
      <c r="AJ201" s="32"/>
      <c r="AK201" s="53"/>
      <c r="AL201" s="21" t="str">
        <f>IFERROR(VLOOKUP(May[[#This Row],[Drug Name5]],'Data Options'!$R$1:$S$100,2,FALSE), " ")</f>
        <v xml:space="preserve"> </v>
      </c>
      <c r="AM201" s="32"/>
      <c r="AN201" s="32"/>
      <c r="AO201" s="53"/>
      <c r="AP201" s="21" t="str">
        <f>IFERROR(VLOOKUP(May[[#This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21" t="str">
        <f>IFERROR(VLOOKUP(May[[#This Row],[Drug Name7]],'Data Options'!$R$1:$S$100,2,FALSE), " ")</f>
        <v xml:space="preserve"> </v>
      </c>
      <c r="AZ201" s="32"/>
      <c r="BA201" s="32"/>
      <c r="BB201" s="53"/>
      <c r="BC201" s="21" t="str">
        <f>IFERROR(VLOOKUP(May[[#This Row],[Drug Name8]],'Data Options'!$R$1:$S$100,2,FALSE), " ")</f>
        <v xml:space="preserve"> </v>
      </c>
      <c r="BD201" s="32"/>
      <c r="BE201" s="32"/>
      <c r="BF201" s="53"/>
      <c r="BG201" s="21" t="str">
        <f>IFERROR(VLOOKUP(May[[#This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F2et5LQL290RsPDptNN1lqNSijtjDFreT8rnk09PhmdtSpK3qUoPajYmPbAt7M8tWvvDuOHFOh4Pmt+cgZ0B7w==" saltValue="rbqRtYOvGw54o2P0+J5iRA==" spinCount="100000" sheet="1" objects="1" scenarios="1"/>
  <mergeCells count="13">
    <mergeCell ref="AG2:AJ2"/>
    <mergeCell ref="AX2:BA2"/>
    <mergeCell ref="BB2:BE2"/>
    <mergeCell ref="BF2:BI2"/>
    <mergeCell ref="AB1:AF2"/>
    <mergeCell ref="AS1:AW2"/>
    <mergeCell ref="AO2:AR2"/>
    <mergeCell ref="A1:J2"/>
    <mergeCell ref="K1:Y1"/>
    <mergeCell ref="K2:O2"/>
    <mergeCell ref="P2:S2"/>
    <mergeCell ref="T2:W2"/>
    <mergeCell ref="X2:AA2"/>
  </mergeCells>
  <phoneticPr fontId="5" type="noConversion"/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workbookViewId="0">
      <selection activeCell="C7" sqref="C7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43983</v>
      </c>
      <c r="B4" s="52" t="s">
        <v>294</v>
      </c>
      <c r="C4" s="32">
        <v>20051</v>
      </c>
      <c r="D4" s="32" t="s">
        <v>13</v>
      </c>
      <c r="E4" s="32" t="s">
        <v>17</v>
      </c>
      <c r="F4" s="32" t="s">
        <v>218</v>
      </c>
      <c r="G4" s="32" t="s">
        <v>18</v>
      </c>
      <c r="H4" s="32"/>
      <c r="I4" s="32" t="s">
        <v>247</v>
      </c>
      <c r="J4" s="32">
        <v>0</v>
      </c>
      <c r="K4" s="32" t="s">
        <v>277</v>
      </c>
      <c r="L4" s="32"/>
      <c r="M4" s="32"/>
      <c r="N4" s="31"/>
      <c r="O4" s="31"/>
      <c r="P4" s="53"/>
      <c r="Q4" s="54" t="str">
        <f>IFERROR(VLOOKUP(June[[#This Row],[Drug Name]],'Data Options'!$R$1:$S$100,2,FALSE), " ")</f>
        <v xml:space="preserve"> </v>
      </c>
      <c r="R4" s="32"/>
      <c r="S4" s="32"/>
      <c r="T4" s="53"/>
      <c r="U4" s="54" t="str">
        <f>IFERROR(VLOOKUP(June[[#This Row],[Drug Name2]],'Data Options'!$R$1:$S$100,2,FALSE), " ")</f>
        <v xml:space="preserve"> </v>
      </c>
      <c r="V4" s="32"/>
      <c r="W4" s="32"/>
      <c r="X4" s="53"/>
      <c r="Y4" s="54" t="str">
        <f>IFERROR(VLOOKUP(June[[#This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54" t="str">
        <f>IFERROR(VLOOKUP(June[[#This Row],[Drug Name4]],'Data Options'!$R$1:$S$100,2,FALSE), " ")</f>
        <v xml:space="preserve"> </v>
      </c>
      <c r="AI4" s="32"/>
      <c r="AJ4" s="32"/>
      <c r="AK4" s="53"/>
      <c r="AL4" s="54" t="str">
        <f>IFERROR(VLOOKUP(June[[#This Row],[Drug Name5]],'Data Options'!$R$1:$S$100,2,FALSE), " ")</f>
        <v xml:space="preserve"> </v>
      </c>
      <c r="AM4" s="32"/>
      <c r="AN4" s="32"/>
      <c r="AO4" s="53"/>
      <c r="AP4" s="54" t="str">
        <f>IFERROR(VLOOKUP(June[[#This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54" t="str">
        <f>IFERROR(VLOOKUP(June[[#This Row],[Drug Name7]],'Data Options'!$R$1:$S$100,2,FALSE), " ")</f>
        <v xml:space="preserve"> </v>
      </c>
      <c r="AZ4" s="32"/>
      <c r="BA4" s="32"/>
      <c r="BB4" s="53"/>
      <c r="BC4" s="54" t="str">
        <f>IFERROR(VLOOKUP(June[[#This Row],[Drug Name8]],'Data Options'!$R$1:$S$100,2,FALSE), " ")</f>
        <v xml:space="preserve"> </v>
      </c>
      <c r="BD4" s="32"/>
      <c r="BE4" s="32"/>
      <c r="BF4" s="53"/>
      <c r="BG4" s="54" t="str">
        <f>IFERROR(VLOOKUP(June[[#This Row],[Drug Name9]],'Data Options'!$R$1:$S$100,2,FALSE), " ")</f>
        <v xml:space="preserve"> </v>
      </c>
      <c r="BH4" s="32"/>
      <c r="BI4" s="32"/>
    </row>
    <row r="5" spans="1:61" ht="77.5">
      <c r="A5" s="51">
        <v>43984</v>
      </c>
      <c r="B5" s="52" t="s">
        <v>294</v>
      </c>
      <c r="C5" s="32">
        <v>20052</v>
      </c>
      <c r="D5" s="32" t="s">
        <v>12</v>
      </c>
      <c r="E5" s="32" t="s">
        <v>17</v>
      </c>
      <c r="F5" s="32" t="s">
        <v>219</v>
      </c>
      <c r="G5" s="32" t="s">
        <v>20</v>
      </c>
      <c r="H5" s="32"/>
      <c r="I5" s="32" t="s">
        <v>22</v>
      </c>
      <c r="J5" s="32">
        <v>1</v>
      </c>
      <c r="K5" s="32" t="s">
        <v>278</v>
      </c>
      <c r="L5" s="32"/>
      <c r="M5" s="32">
        <v>1</v>
      </c>
      <c r="N5" s="31" t="s">
        <v>22</v>
      </c>
      <c r="O5" s="31" t="s">
        <v>23</v>
      </c>
      <c r="P5" s="53" t="s">
        <v>240</v>
      </c>
      <c r="Q5" s="54" t="str">
        <f>IFERROR(VLOOKUP(June[[#This Row],[Drug Name]],'Data Options'!$R$1:$S$100,2,FALSE), " ")</f>
        <v>B-lactam/B-lactamase inhibitor combination</v>
      </c>
      <c r="R5" s="32" t="s">
        <v>92</v>
      </c>
      <c r="S5" s="32" t="s">
        <v>89</v>
      </c>
      <c r="T5" s="53"/>
      <c r="U5" s="54" t="str">
        <f>IFERROR(VLOOKUP(June[[#This Row],[Drug Name2]],'Data Options'!$R$1:$S$100,2,FALSE), " ")</f>
        <v xml:space="preserve"> </v>
      </c>
      <c r="V5" s="32"/>
      <c r="W5" s="32"/>
      <c r="X5" s="53"/>
      <c r="Y5" s="54" t="str">
        <f>IFERROR(VLOOKUP(June[[#This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54" t="str">
        <f>IFERROR(VLOOKUP(June[[#This Row],[Drug Name4]],'Data Options'!$R$1:$S$100,2,FALSE), " ")</f>
        <v xml:space="preserve"> </v>
      </c>
      <c r="AI5" s="32"/>
      <c r="AJ5" s="32"/>
      <c r="AK5" s="53"/>
      <c r="AL5" s="54" t="str">
        <f>IFERROR(VLOOKUP(June[[#This Row],[Drug Name5]],'Data Options'!$R$1:$S$100,2,FALSE), " ")</f>
        <v xml:space="preserve"> </v>
      </c>
      <c r="AM5" s="32"/>
      <c r="AN5" s="32"/>
      <c r="AO5" s="53"/>
      <c r="AP5" s="54" t="str">
        <f>IFERROR(VLOOKUP(June[[#This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54" t="str">
        <f>IFERROR(VLOOKUP(June[[#This Row],[Drug Name7]],'Data Options'!$R$1:$S$100,2,FALSE), " ")</f>
        <v xml:space="preserve"> </v>
      </c>
      <c r="AZ5" s="32"/>
      <c r="BA5" s="32"/>
      <c r="BB5" s="53"/>
      <c r="BC5" s="54" t="str">
        <f>IFERROR(VLOOKUP(June[[#This Row],[Drug Name8]],'Data Options'!$R$1:$S$100,2,FALSE), " ")</f>
        <v xml:space="preserve"> </v>
      </c>
      <c r="BD5" s="32"/>
      <c r="BE5" s="32"/>
      <c r="BF5" s="53"/>
      <c r="BG5" s="54" t="str">
        <f>IFERROR(VLOOKUP(June[[#This Row],[Drug Name9]],'Data Options'!$R$1:$S$100,2,FALSE), " ")</f>
        <v xml:space="preserve"> </v>
      </c>
      <c r="BH5" s="32"/>
      <c r="BI5" s="32"/>
    </row>
    <row r="6" spans="1:61" ht="46.5">
      <c r="A6" s="51">
        <v>43985</v>
      </c>
      <c r="B6" s="52" t="s">
        <v>294</v>
      </c>
      <c r="C6" s="32">
        <v>20053</v>
      </c>
      <c r="D6" s="32" t="s">
        <v>13</v>
      </c>
      <c r="E6" s="32" t="s">
        <v>15</v>
      </c>
      <c r="F6" s="32" t="s">
        <v>220</v>
      </c>
      <c r="G6" s="32" t="s">
        <v>20</v>
      </c>
      <c r="H6" s="32"/>
      <c r="I6" s="32" t="s">
        <v>22</v>
      </c>
      <c r="J6" s="32">
        <v>2</v>
      </c>
      <c r="K6" s="32" t="s">
        <v>276</v>
      </c>
      <c r="L6" s="32"/>
      <c r="M6" s="32">
        <v>1</v>
      </c>
      <c r="N6" s="31" t="s">
        <v>22</v>
      </c>
      <c r="O6" s="31" t="s">
        <v>22</v>
      </c>
      <c r="P6" s="53" t="s">
        <v>141</v>
      </c>
      <c r="Q6" s="54" t="str">
        <f>IFERROR(VLOOKUP(June[[#This Row],[Drug Name]],'Data Options'!$R$1:$S$100,2,FALSE), " ")</f>
        <v>Sulfonamides/Folate pathway inhibitors</v>
      </c>
      <c r="R6" s="32" t="s">
        <v>92</v>
      </c>
      <c r="S6" s="32" t="s">
        <v>89</v>
      </c>
      <c r="T6" s="53"/>
      <c r="U6" s="54" t="str">
        <f>IFERROR(VLOOKUP(June[[#This Row],[Drug Name2]],'Data Options'!$R$1:$S$100,2,FALSE), " ")</f>
        <v xml:space="preserve"> </v>
      </c>
      <c r="V6" s="32"/>
      <c r="W6" s="32"/>
      <c r="X6" s="53"/>
      <c r="Y6" s="54" t="str">
        <f>IFERROR(VLOOKUP(June[[#This Row],[Drug Name3]],'Data Options'!$R$1:$S$100,2,FALSE), " ")</f>
        <v xml:space="preserve"> </v>
      </c>
      <c r="Z6" s="32"/>
      <c r="AA6" s="32"/>
      <c r="AB6" s="32" t="s">
        <v>86</v>
      </c>
      <c r="AC6" s="32"/>
      <c r="AD6" s="32">
        <v>1</v>
      </c>
      <c r="AE6" s="31" t="s">
        <v>22</v>
      </c>
      <c r="AF6" s="31" t="s">
        <v>22</v>
      </c>
      <c r="AG6" s="53" t="s">
        <v>35</v>
      </c>
      <c r="AH6" s="54" t="str">
        <f>IFERROR(VLOOKUP(June[[#This Row],[Drug Name4]],'Data Options'!$R$1:$S$100,2,FALSE), " ")</f>
        <v>Cephalosporins</v>
      </c>
      <c r="AI6" s="32" t="s">
        <v>92</v>
      </c>
      <c r="AJ6" s="32" t="s">
        <v>89</v>
      </c>
      <c r="AK6" s="53"/>
      <c r="AL6" s="54" t="str">
        <f>IFERROR(VLOOKUP(June[[#This Row],[Drug Name5]],'Data Options'!$R$1:$S$100,2,FALSE), " ")</f>
        <v xml:space="preserve"> </v>
      </c>
      <c r="AM6" s="32"/>
      <c r="AN6" s="32"/>
      <c r="AO6" s="53"/>
      <c r="AP6" s="54" t="str">
        <f>IFERROR(VLOOKUP(June[[#This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54" t="str">
        <f>IFERROR(VLOOKUP(June[[#This Row],[Drug Name7]],'Data Options'!$R$1:$S$100,2,FALSE), " ")</f>
        <v xml:space="preserve"> </v>
      </c>
      <c r="AZ6" s="32"/>
      <c r="BA6" s="32"/>
      <c r="BB6" s="53"/>
      <c r="BC6" s="54" t="str">
        <f>IFERROR(VLOOKUP(June[[#This Row],[Drug Name8]],'Data Options'!$R$1:$S$100,2,FALSE), " ")</f>
        <v xml:space="preserve"> </v>
      </c>
      <c r="BD6" s="32"/>
      <c r="BE6" s="32"/>
      <c r="BF6" s="53"/>
      <c r="BG6" s="54" t="str">
        <f>IFERROR(VLOOKUP(June[[#This Row],[Drug Name9]],'Data Options'!$R$1:$S$100,2,FALSE), " ")</f>
        <v xml:space="preserve"> </v>
      </c>
      <c r="BH6" s="32"/>
      <c r="BI6" s="32"/>
    </row>
    <row r="7" spans="1:61">
      <c r="A7" s="51">
        <v>43986</v>
      </c>
      <c r="B7" s="52" t="s">
        <v>294</v>
      </c>
      <c r="C7" s="32">
        <v>20054</v>
      </c>
      <c r="D7" s="32" t="s">
        <v>12</v>
      </c>
      <c r="E7" s="32" t="s">
        <v>15</v>
      </c>
      <c r="F7" s="32" t="s">
        <v>221</v>
      </c>
      <c r="G7" s="32" t="s">
        <v>292</v>
      </c>
      <c r="H7" s="32"/>
      <c r="I7" s="32" t="s">
        <v>23</v>
      </c>
      <c r="J7" s="32">
        <v>0</v>
      </c>
      <c r="K7" s="32" t="s">
        <v>21</v>
      </c>
      <c r="L7" s="32" t="s">
        <v>319</v>
      </c>
      <c r="M7" s="32"/>
      <c r="N7" s="31"/>
      <c r="O7" s="31"/>
      <c r="P7" s="53"/>
      <c r="Q7" s="54" t="str">
        <f>IFERROR(VLOOKUP(June[[#This Row],[Drug Name]],'Data Options'!$R$1:$S$100,2,FALSE), " ")</f>
        <v xml:space="preserve"> </v>
      </c>
      <c r="R7" s="32"/>
      <c r="S7" s="32"/>
      <c r="T7" s="53"/>
      <c r="U7" s="54" t="str">
        <f>IFERROR(VLOOKUP(June[[#This Row],[Drug Name2]],'Data Options'!$R$1:$S$100,2,FALSE), " ")</f>
        <v xml:space="preserve"> </v>
      </c>
      <c r="V7" s="32"/>
      <c r="W7" s="32"/>
      <c r="X7" s="53"/>
      <c r="Y7" s="54" t="str">
        <f>IFERROR(VLOOKUP(June[[#This Row],[Drug Name3]],'Data Options'!$R$1:$S$100,2,FALSE), " ")</f>
        <v xml:space="preserve"> </v>
      </c>
      <c r="Z7" s="32"/>
      <c r="AA7" s="32"/>
      <c r="AB7" s="32"/>
      <c r="AC7" s="32"/>
      <c r="AD7" s="32"/>
      <c r="AE7" s="31"/>
      <c r="AF7" s="31"/>
      <c r="AG7" s="53"/>
      <c r="AH7" s="54" t="str">
        <f>IFERROR(VLOOKUP(June[[#This Row],[Drug Name4]],'Data Options'!$R$1:$S$100,2,FALSE), " ")</f>
        <v xml:space="preserve"> </v>
      </c>
      <c r="AI7" s="32"/>
      <c r="AJ7" s="32"/>
      <c r="AK7" s="53"/>
      <c r="AL7" s="54" t="str">
        <f>IFERROR(VLOOKUP(June[[#This Row],[Drug Name5]],'Data Options'!$R$1:$S$100,2,FALSE), " ")</f>
        <v xml:space="preserve"> </v>
      </c>
      <c r="AM7" s="32"/>
      <c r="AN7" s="32"/>
      <c r="AO7" s="53"/>
      <c r="AP7" s="54" t="str">
        <f>IFERROR(VLOOKUP(June[[#This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54" t="str">
        <f>IFERROR(VLOOKUP(June[[#This Row],[Drug Name7]],'Data Options'!$R$1:$S$100,2,FALSE), " ")</f>
        <v xml:space="preserve"> </v>
      </c>
      <c r="AZ7" s="32"/>
      <c r="BA7" s="32"/>
      <c r="BB7" s="53"/>
      <c r="BC7" s="54" t="str">
        <f>IFERROR(VLOOKUP(June[[#This Row],[Drug Name8]],'Data Options'!$R$1:$S$100,2,FALSE), " ")</f>
        <v xml:space="preserve"> </v>
      </c>
      <c r="BD7" s="32"/>
      <c r="BE7" s="32"/>
      <c r="BF7" s="53"/>
      <c r="BG7" s="54" t="str">
        <f>IFERROR(VLOOKUP(June[[#This Row],[Drug Name9]],'Data Options'!$R$1:$S$100,2,FALSE), " ")</f>
        <v xml:space="preserve"> </v>
      </c>
      <c r="BH7" s="32"/>
      <c r="BI7" s="32"/>
    </row>
    <row r="8" spans="1:61" ht="31">
      <c r="A8" s="51">
        <v>43987</v>
      </c>
      <c r="B8" s="52" t="s">
        <v>294</v>
      </c>
      <c r="C8" s="32">
        <v>20055</v>
      </c>
      <c r="D8" s="32" t="s">
        <v>13</v>
      </c>
      <c r="E8" s="32" t="s">
        <v>16</v>
      </c>
      <c r="F8" s="32" t="s">
        <v>117</v>
      </c>
      <c r="G8" s="32" t="s">
        <v>19</v>
      </c>
      <c r="H8" s="32"/>
      <c r="I8" s="32" t="s">
        <v>22</v>
      </c>
      <c r="J8" s="32">
        <v>2</v>
      </c>
      <c r="K8" s="32" t="s">
        <v>97</v>
      </c>
      <c r="L8" s="32"/>
      <c r="M8" s="32">
        <v>1</v>
      </c>
      <c r="N8" s="31" t="s">
        <v>22</v>
      </c>
      <c r="O8" s="31" t="s">
        <v>22</v>
      </c>
      <c r="P8" s="53" t="s">
        <v>27</v>
      </c>
      <c r="Q8" s="54" t="str">
        <f>IFERROR(VLOOKUP(June[[#This Row],[Drug Name]],'Data Options'!$R$1:$S$100,2,FALSE), " ")</f>
        <v>Penicillins</v>
      </c>
      <c r="R8" s="32" t="s">
        <v>92</v>
      </c>
      <c r="S8" s="32" t="s">
        <v>89</v>
      </c>
      <c r="T8" s="53" t="s">
        <v>130</v>
      </c>
      <c r="U8" s="54" t="str">
        <f>IFERROR(VLOOKUP(June[[#This Row],[Drug Name2]],'Data Options'!$R$1:$S$100,2,FALSE), " ")</f>
        <v>Fluoroquinolones</v>
      </c>
      <c r="V8" s="32" t="s">
        <v>88</v>
      </c>
      <c r="W8" s="32" t="s">
        <v>89</v>
      </c>
      <c r="X8" s="53"/>
      <c r="Y8" s="54" t="str">
        <f>IFERROR(VLOOKUP(June[[#This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54" t="str">
        <f>IFERROR(VLOOKUP(June[[#This Row],[Drug Name4]],'Data Options'!$R$1:$S$100,2,FALSE), " ")</f>
        <v xml:space="preserve"> </v>
      </c>
      <c r="AI8" s="32"/>
      <c r="AJ8" s="32"/>
      <c r="AK8" s="53"/>
      <c r="AL8" s="54" t="str">
        <f>IFERROR(VLOOKUP(June[[#This Row],[Drug Name5]],'Data Options'!$R$1:$S$100,2,FALSE), " ")</f>
        <v xml:space="preserve"> </v>
      </c>
      <c r="AM8" s="32"/>
      <c r="AN8" s="32"/>
      <c r="AO8" s="53"/>
      <c r="AP8" s="54" t="str">
        <f>IFERROR(VLOOKUP(June[[#This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54" t="str">
        <f>IFERROR(VLOOKUP(June[[#This Row],[Drug Name7]],'Data Options'!$R$1:$S$100,2,FALSE), " ")</f>
        <v xml:space="preserve"> </v>
      </c>
      <c r="AZ8" s="32"/>
      <c r="BA8" s="32"/>
      <c r="BB8" s="53"/>
      <c r="BC8" s="54" t="str">
        <f>IFERROR(VLOOKUP(June[[#This Row],[Drug Name8]],'Data Options'!$R$1:$S$100,2,FALSE), " ")</f>
        <v xml:space="preserve"> </v>
      </c>
      <c r="BD8" s="32"/>
      <c r="BE8" s="32"/>
      <c r="BF8" s="53"/>
      <c r="BG8" s="54" t="str">
        <f>IFERROR(VLOOKUP(June[[#This Row],[Drug Name9]],'Data Options'!$R$1:$S$100,2,FALSE), " ")</f>
        <v xml:space="preserve"> </v>
      </c>
      <c r="BH8" s="32"/>
      <c r="BI8" s="32"/>
    </row>
    <row r="9" spans="1:61">
      <c r="A9" s="51">
        <v>43988</v>
      </c>
      <c r="B9" s="52" t="s">
        <v>294</v>
      </c>
      <c r="C9" s="32">
        <v>20056</v>
      </c>
      <c r="D9" s="32" t="s">
        <v>12</v>
      </c>
      <c r="E9" s="32" t="s">
        <v>15</v>
      </c>
      <c r="F9" s="32" t="s">
        <v>123</v>
      </c>
      <c r="G9" s="32" t="s">
        <v>19</v>
      </c>
      <c r="H9" s="32"/>
      <c r="I9" s="32" t="s">
        <v>23</v>
      </c>
      <c r="J9" s="32">
        <v>0</v>
      </c>
      <c r="K9" s="32" t="s">
        <v>275</v>
      </c>
      <c r="L9" s="32"/>
      <c r="M9" s="32"/>
      <c r="N9" s="31"/>
      <c r="O9" s="31"/>
      <c r="P9" s="53"/>
      <c r="Q9" s="54" t="str">
        <f>IFERROR(VLOOKUP(June[[#This Row],[Drug Name]],'Data Options'!$R$1:$S$100,2,FALSE), " ")</f>
        <v xml:space="preserve"> </v>
      </c>
      <c r="R9" s="32"/>
      <c r="S9" s="32"/>
      <c r="T9" s="53"/>
      <c r="U9" s="54" t="str">
        <f>IFERROR(VLOOKUP(June[[#This Row],[Drug Name2]],'Data Options'!$R$1:$S$100,2,FALSE), " ")</f>
        <v xml:space="preserve"> </v>
      </c>
      <c r="V9" s="32"/>
      <c r="W9" s="32"/>
      <c r="X9" s="53"/>
      <c r="Y9" s="54" t="str">
        <f>IFERROR(VLOOKUP(June[[#This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54" t="str">
        <f>IFERROR(VLOOKUP(June[[#This Row],[Drug Name4]],'Data Options'!$R$1:$S$100,2,FALSE), " ")</f>
        <v xml:space="preserve"> </v>
      </c>
      <c r="AI9" s="32"/>
      <c r="AJ9" s="32"/>
      <c r="AK9" s="53"/>
      <c r="AL9" s="54" t="str">
        <f>IFERROR(VLOOKUP(June[[#This Row],[Drug Name5]],'Data Options'!$R$1:$S$100,2,FALSE), " ")</f>
        <v xml:space="preserve"> </v>
      </c>
      <c r="AM9" s="32"/>
      <c r="AN9" s="32"/>
      <c r="AO9" s="53"/>
      <c r="AP9" s="54" t="str">
        <f>IFERROR(VLOOKUP(June[[#This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54" t="str">
        <f>IFERROR(VLOOKUP(June[[#This Row],[Drug Name7]],'Data Options'!$R$1:$S$100,2,FALSE), " ")</f>
        <v xml:space="preserve"> </v>
      </c>
      <c r="AZ9" s="32"/>
      <c r="BA9" s="32"/>
      <c r="BB9" s="53"/>
      <c r="BC9" s="54" t="str">
        <f>IFERROR(VLOOKUP(June[[#This Row],[Drug Name8]],'Data Options'!$R$1:$S$100,2,FALSE), " ")</f>
        <v xml:space="preserve"> </v>
      </c>
      <c r="BD9" s="32"/>
      <c r="BE9" s="32"/>
      <c r="BF9" s="53"/>
      <c r="BG9" s="54" t="str">
        <f>IFERROR(VLOOKUP(June[[#This Row],[Drug Name9]],'Data Options'!$R$1:$S$100,2,FALSE), " ")</f>
        <v xml:space="preserve"> </v>
      </c>
      <c r="BH9" s="32"/>
      <c r="BI9" s="32"/>
    </row>
    <row r="10" spans="1:61">
      <c r="A10" s="51">
        <v>43989</v>
      </c>
      <c r="B10" s="52" t="s">
        <v>294</v>
      </c>
      <c r="C10" s="32">
        <v>20057</v>
      </c>
      <c r="D10" s="32" t="s">
        <v>13</v>
      </c>
      <c r="E10" s="32" t="s">
        <v>17</v>
      </c>
      <c r="F10" s="32" t="s">
        <v>117</v>
      </c>
      <c r="G10" s="32" t="s">
        <v>18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1"/>
      <c r="O10" s="31"/>
      <c r="P10" s="53"/>
      <c r="Q10" s="54" t="str">
        <f>IFERROR(VLOOKUP(June[[#This Row],[Drug Name]],'Data Options'!$R$1:$S$100,2,FALSE), " ")</f>
        <v xml:space="preserve"> </v>
      </c>
      <c r="R10" s="32"/>
      <c r="S10" s="32"/>
      <c r="T10" s="53"/>
      <c r="U10" s="54" t="str">
        <f>IFERROR(VLOOKUP(June[[#This Row],[Drug Name2]],'Data Options'!$R$1:$S$100,2,FALSE), " ")</f>
        <v xml:space="preserve"> </v>
      </c>
      <c r="V10" s="32"/>
      <c r="W10" s="32"/>
      <c r="X10" s="53"/>
      <c r="Y10" s="54" t="str">
        <f>IFERROR(VLOOKUP(June[[#This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54" t="str">
        <f>IFERROR(VLOOKUP(June[[#This Row],[Drug Name4]],'Data Options'!$R$1:$S$100,2,FALSE), " ")</f>
        <v xml:space="preserve"> </v>
      </c>
      <c r="AI10" s="32"/>
      <c r="AJ10" s="32"/>
      <c r="AK10" s="53"/>
      <c r="AL10" s="54" t="str">
        <f>IFERROR(VLOOKUP(June[[#This Row],[Drug Name5]],'Data Options'!$R$1:$S$100,2,FALSE), " ")</f>
        <v xml:space="preserve"> </v>
      </c>
      <c r="AM10" s="32"/>
      <c r="AN10" s="32"/>
      <c r="AO10" s="53"/>
      <c r="AP10" s="54" t="str">
        <f>IFERROR(VLOOKUP(June[[#This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54" t="str">
        <f>IFERROR(VLOOKUP(June[[#This Row],[Drug Name7]],'Data Options'!$R$1:$S$100,2,FALSE), " ")</f>
        <v xml:space="preserve"> </v>
      </c>
      <c r="AZ10" s="32"/>
      <c r="BA10" s="32"/>
      <c r="BB10" s="53"/>
      <c r="BC10" s="54" t="str">
        <f>IFERROR(VLOOKUP(June[[#This Row],[Drug Name8]],'Data Options'!$R$1:$S$100,2,FALSE), " ")</f>
        <v xml:space="preserve"> </v>
      </c>
      <c r="BD10" s="32"/>
      <c r="BE10" s="32"/>
      <c r="BF10" s="53"/>
      <c r="BG10" s="54" t="str">
        <f>IFERROR(VLOOKUP(June[[#This Row],[Drug Name9]],'Data Options'!$R$1:$S$100,2,FALSE), " ")</f>
        <v xml:space="preserve"> </v>
      </c>
      <c r="BH10" s="32"/>
      <c r="BI10" s="32"/>
    </row>
    <row r="11" spans="1:61">
      <c r="A11" s="51">
        <v>43990</v>
      </c>
      <c r="B11" s="52" t="s">
        <v>294</v>
      </c>
      <c r="C11" s="32">
        <v>20058</v>
      </c>
      <c r="D11" s="32" t="s">
        <v>12</v>
      </c>
      <c r="E11" s="32" t="s">
        <v>17</v>
      </c>
      <c r="F11" s="32" t="s">
        <v>218</v>
      </c>
      <c r="G11" s="32" t="s">
        <v>20</v>
      </c>
      <c r="H11" s="32"/>
      <c r="I11" s="32" t="s">
        <v>22</v>
      </c>
      <c r="J11" s="32">
        <v>1</v>
      </c>
      <c r="K11" s="32" t="s">
        <v>222</v>
      </c>
      <c r="L11" s="32"/>
      <c r="M11" s="32">
        <v>1</v>
      </c>
      <c r="N11" s="31" t="s">
        <v>22</v>
      </c>
      <c r="O11" s="31" t="s">
        <v>22</v>
      </c>
      <c r="P11" s="53" t="s">
        <v>39</v>
      </c>
      <c r="Q11" s="54" t="str">
        <f>IFERROR(VLOOKUP(June[[#This Row],[Drug Name]],'Data Options'!$R$1:$S$100,2,FALSE), " ")</f>
        <v>Tetracyclines</v>
      </c>
      <c r="R11" s="32" t="s">
        <v>92</v>
      </c>
      <c r="S11" s="32" t="s">
        <v>89</v>
      </c>
      <c r="T11" s="53"/>
      <c r="U11" s="54" t="str">
        <f>IFERROR(VLOOKUP(June[[#This Row],[Drug Name2]],'Data Options'!$R$1:$S$100,2,FALSE), " ")</f>
        <v xml:space="preserve"> </v>
      </c>
      <c r="V11" s="32"/>
      <c r="W11" s="32"/>
      <c r="X11" s="53"/>
      <c r="Y11" s="54" t="str">
        <f>IFERROR(VLOOKUP(June[[#This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54" t="str">
        <f>IFERROR(VLOOKUP(June[[#This Row],[Drug Name4]],'Data Options'!$R$1:$S$100,2,FALSE), " ")</f>
        <v xml:space="preserve"> </v>
      </c>
      <c r="AI11" s="32"/>
      <c r="AJ11" s="32"/>
      <c r="AK11" s="53"/>
      <c r="AL11" s="54" t="str">
        <f>IFERROR(VLOOKUP(June[[#This Row],[Drug Name5]],'Data Options'!$R$1:$S$100,2,FALSE), " ")</f>
        <v xml:space="preserve"> </v>
      </c>
      <c r="AM11" s="32"/>
      <c r="AN11" s="32"/>
      <c r="AO11" s="53"/>
      <c r="AP11" s="54" t="str">
        <f>IFERROR(VLOOKUP(June[[#This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54" t="str">
        <f>IFERROR(VLOOKUP(June[[#This Row],[Drug Name7]],'Data Options'!$R$1:$S$100,2,FALSE), " ")</f>
        <v xml:space="preserve"> </v>
      </c>
      <c r="AZ11" s="32"/>
      <c r="BA11" s="32"/>
      <c r="BB11" s="53"/>
      <c r="BC11" s="54" t="str">
        <f>IFERROR(VLOOKUP(June[[#This Row],[Drug Name8]],'Data Options'!$R$1:$S$100,2,FALSE), " ")</f>
        <v xml:space="preserve"> </v>
      </c>
      <c r="BD11" s="32"/>
      <c r="BE11" s="32"/>
      <c r="BF11" s="53"/>
      <c r="BG11" s="54" t="str">
        <f>IFERROR(VLOOKUP(June[[#This Row],[Drug Name9]],'Data Options'!$R$1:$S$100,2,FALSE), " ")</f>
        <v xml:space="preserve"> </v>
      </c>
      <c r="BH11" s="32"/>
      <c r="BI11" s="32"/>
    </row>
    <row r="12" spans="1:61">
      <c r="A12" s="51">
        <v>43991</v>
      </c>
      <c r="B12" s="52" t="s">
        <v>294</v>
      </c>
      <c r="C12" s="32">
        <v>20059</v>
      </c>
      <c r="D12" s="32" t="s">
        <v>13</v>
      </c>
      <c r="E12" s="32" t="s">
        <v>16</v>
      </c>
      <c r="F12" s="32" t="s">
        <v>219</v>
      </c>
      <c r="G12" s="32" t="s">
        <v>20</v>
      </c>
      <c r="H12" s="32"/>
      <c r="I12" s="32" t="s">
        <v>247</v>
      </c>
      <c r="J12" s="32">
        <v>0</v>
      </c>
      <c r="K12" s="32" t="s">
        <v>102</v>
      </c>
      <c r="L12" s="32"/>
      <c r="M12" s="32"/>
      <c r="N12" s="31"/>
      <c r="O12" s="31"/>
      <c r="P12" s="53"/>
      <c r="Q12" s="54" t="str">
        <f>IFERROR(VLOOKUP(June[[#This Row],[Drug Name]],'Data Options'!$R$1:$S$100,2,FALSE), " ")</f>
        <v xml:space="preserve"> </v>
      </c>
      <c r="R12" s="32"/>
      <c r="S12" s="32"/>
      <c r="T12" s="53"/>
      <c r="U12" s="54" t="str">
        <f>IFERROR(VLOOKUP(June[[#This Row],[Drug Name2]],'Data Options'!$R$1:$S$100,2,FALSE), " ")</f>
        <v xml:space="preserve"> </v>
      </c>
      <c r="V12" s="32"/>
      <c r="W12" s="32"/>
      <c r="X12" s="53"/>
      <c r="Y12" s="54" t="str">
        <f>IFERROR(VLOOKUP(June[[#This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54" t="str">
        <f>IFERROR(VLOOKUP(June[[#This Row],[Drug Name4]],'Data Options'!$R$1:$S$100,2,FALSE), " ")</f>
        <v xml:space="preserve"> </v>
      </c>
      <c r="AI12" s="32"/>
      <c r="AJ12" s="32"/>
      <c r="AK12" s="53"/>
      <c r="AL12" s="54" t="str">
        <f>IFERROR(VLOOKUP(June[[#This Row],[Drug Name5]],'Data Options'!$R$1:$S$100,2,FALSE), " ")</f>
        <v xml:space="preserve"> </v>
      </c>
      <c r="AM12" s="32"/>
      <c r="AN12" s="32"/>
      <c r="AO12" s="53"/>
      <c r="AP12" s="54" t="str">
        <f>IFERROR(VLOOKUP(June[[#This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54" t="str">
        <f>IFERROR(VLOOKUP(June[[#This Row],[Drug Name7]],'Data Options'!$R$1:$S$100,2,FALSE), " ")</f>
        <v xml:space="preserve"> </v>
      </c>
      <c r="AZ12" s="32"/>
      <c r="BA12" s="32"/>
      <c r="BB12" s="53"/>
      <c r="BC12" s="54" t="str">
        <f>IFERROR(VLOOKUP(June[[#This Row],[Drug Name8]],'Data Options'!$R$1:$S$100,2,FALSE), " ")</f>
        <v xml:space="preserve"> </v>
      </c>
      <c r="BD12" s="32"/>
      <c r="BE12" s="32"/>
      <c r="BF12" s="53"/>
      <c r="BG12" s="54" t="str">
        <f>IFERROR(VLOOKUP(June[[#This Row],[Drug Name9]],'Data Options'!$R$1:$S$100,2,FALSE), " ")</f>
        <v xml:space="preserve"> </v>
      </c>
      <c r="BH12" s="32"/>
      <c r="BI12" s="32"/>
    </row>
    <row r="13" spans="1:61">
      <c r="A13" s="51">
        <v>43992</v>
      </c>
      <c r="B13" s="52" t="s">
        <v>294</v>
      </c>
      <c r="C13" s="32">
        <v>20060</v>
      </c>
      <c r="D13" s="32" t="s">
        <v>12</v>
      </c>
      <c r="E13" s="32" t="s">
        <v>15</v>
      </c>
      <c r="F13" s="32" t="s">
        <v>220</v>
      </c>
      <c r="G13" s="32" t="s">
        <v>18</v>
      </c>
      <c r="H13" s="32"/>
      <c r="I13" s="32" t="s">
        <v>23</v>
      </c>
      <c r="J13" s="32">
        <v>0</v>
      </c>
      <c r="K13" s="32" t="s">
        <v>100</v>
      </c>
      <c r="L13" s="32"/>
      <c r="M13" s="32"/>
      <c r="N13" s="31"/>
      <c r="O13" s="31"/>
      <c r="P13" s="53"/>
      <c r="Q13" s="54" t="str">
        <f>IFERROR(VLOOKUP(June[[#This Row],[Drug Name]],'Data Options'!$R$1:$S$100,2,FALSE), " ")</f>
        <v xml:space="preserve"> </v>
      </c>
      <c r="R13" s="32"/>
      <c r="S13" s="32"/>
      <c r="T13" s="53"/>
      <c r="U13" s="54" t="str">
        <f>IFERROR(VLOOKUP(June[[#This Row],[Drug Name2]],'Data Options'!$R$1:$S$100,2,FALSE), " ")</f>
        <v xml:space="preserve"> </v>
      </c>
      <c r="V13" s="32"/>
      <c r="W13" s="32"/>
      <c r="X13" s="53"/>
      <c r="Y13" s="54" t="str">
        <f>IFERROR(VLOOKUP(June[[#This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54" t="str">
        <f>IFERROR(VLOOKUP(June[[#This Row],[Drug Name4]],'Data Options'!$R$1:$S$100,2,FALSE), " ")</f>
        <v xml:space="preserve"> </v>
      </c>
      <c r="AI13" s="32"/>
      <c r="AJ13" s="32"/>
      <c r="AK13" s="53"/>
      <c r="AL13" s="54" t="str">
        <f>IFERROR(VLOOKUP(June[[#This Row],[Drug Name5]],'Data Options'!$R$1:$S$100,2,FALSE), " ")</f>
        <v xml:space="preserve"> </v>
      </c>
      <c r="AM13" s="32"/>
      <c r="AN13" s="32"/>
      <c r="AO13" s="53"/>
      <c r="AP13" s="54" t="str">
        <f>IFERROR(VLOOKUP(June[[#This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54" t="str">
        <f>IFERROR(VLOOKUP(June[[#This Row],[Drug Name7]],'Data Options'!$R$1:$S$100,2,FALSE), " ")</f>
        <v xml:space="preserve"> </v>
      </c>
      <c r="AZ13" s="32"/>
      <c r="BA13" s="32"/>
      <c r="BB13" s="53"/>
      <c r="BC13" s="54" t="str">
        <f>IFERROR(VLOOKUP(June[[#This Row],[Drug Name8]],'Data Options'!$R$1:$S$100,2,FALSE), " ")</f>
        <v xml:space="preserve"> </v>
      </c>
      <c r="BD13" s="32"/>
      <c r="BE13" s="32"/>
      <c r="BF13" s="53"/>
      <c r="BG13" s="54" t="str">
        <f>IFERROR(VLOOKUP(June[[#This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54" t="str">
        <f>IFERROR(VLOOKUP(June[[#This Row],[Drug Name]],'Data Options'!$R$1:$S$100,2,FALSE), " ")</f>
        <v xml:space="preserve"> </v>
      </c>
      <c r="R14" s="32"/>
      <c r="S14" s="32"/>
      <c r="T14" s="53"/>
      <c r="U14" s="54" t="str">
        <f>IFERROR(VLOOKUP(June[[#This Row],[Drug Name2]],'Data Options'!$R$1:$S$100,2,FALSE), " ")</f>
        <v xml:space="preserve"> </v>
      </c>
      <c r="V14" s="32"/>
      <c r="W14" s="32"/>
      <c r="X14" s="53"/>
      <c r="Y14" s="54" t="str">
        <f>IFERROR(VLOOKUP(June[[#This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54" t="str">
        <f>IFERROR(VLOOKUP(June[[#This Row],[Drug Name4]],'Data Options'!$R$1:$S$100,2,FALSE), " ")</f>
        <v xml:space="preserve"> </v>
      </c>
      <c r="AI14" s="32"/>
      <c r="AJ14" s="32"/>
      <c r="AK14" s="53"/>
      <c r="AL14" s="54" t="str">
        <f>IFERROR(VLOOKUP(June[[#This Row],[Drug Name5]],'Data Options'!$R$1:$S$100,2,FALSE), " ")</f>
        <v xml:space="preserve"> </v>
      </c>
      <c r="AM14" s="32"/>
      <c r="AN14" s="32"/>
      <c r="AO14" s="53"/>
      <c r="AP14" s="54" t="str">
        <f>IFERROR(VLOOKUP(June[[#This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54" t="str">
        <f>IFERROR(VLOOKUP(June[[#This Row],[Drug Name7]],'Data Options'!$R$1:$S$100,2,FALSE), " ")</f>
        <v xml:space="preserve"> </v>
      </c>
      <c r="AZ14" s="32"/>
      <c r="BA14" s="32"/>
      <c r="BB14" s="53"/>
      <c r="BC14" s="54" t="str">
        <f>IFERROR(VLOOKUP(June[[#This Row],[Drug Name8]],'Data Options'!$R$1:$S$100,2,FALSE), " ")</f>
        <v xml:space="preserve"> </v>
      </c>
      <c r="BD14" s="32"/>
      <c r="BE14" s="32"/>
      <c r="BF14" s="53"/>
      <c r="BG14" s="54" t="str">
        <f>IFERROR(VLOOKUP(June[[#This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54" t="str">
        <f>IFERROR(VLOOKUP(June[[#This Row],[Drug Name]],'Data Options'!$R$1:$S$100,2,FALSE), " ")</f>
        <v xml:space="preserve"> </v>
      </c>
      <c r="R15" s="32"/>
      <c r="S15" s="32"/>
      <c r="T15" s="53"/>
      <c r="U15" s="54" t="str">
        <f>IFERROR(VLOOKUP(June[[#This Row],[Drug Name2]],'Data Options'!$R$1:$S$100,2,FALSE), " ")</f>
        <v xml:space="preserve"> </v>
      </c>
      <c r="V15" s="32"/>
      <c r="W15" s="32"/>
      <c r="X15" s="53"/>
      <c r="Y15" s="54" t="str">
        <f>IFERROR(VLOOKUP(June[[#This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54" t="str">
        <f>IFERROR(VLOOKUP(June[[#This Row],[Drug Name4]],'Data Options'!$R$1:$S$100,2,FALSE), " ")</f>
        <v xml:space="preserve"> </v>
      </c>
      <c r="AI15" s="32"/>
      <c r="AJ15" s="32"/>
      <c r="AK15" s="53"/>
      <c r="AL15" s="54" t="str">
        <f>IFERROR(VLOOKUP(June[[#This Row],[Drug Name5]],'Data Options'!$R$1:$S$100,2,FALSE), " ")</f>
        <v xml:space="preserve"> </v>
      </c>
      <c r="AM15" s="32"/>
      <c r="AN15" s="32"/>
      <c r="AO15" s="53"/>
      <c r="AP15" s="54" t="str">
        <f>IFERROR(VLOOKUP(June[[#This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54" t="str">
        <f>IFERROR(VLOOKUP(June[[#This Row],[Drug Name7]],'Data Options'!$R$1:$S$100,2,FALSE), " ")</f>
        <v xml:space="preserve"> </v>
      </c>
      <c r="AZ15" s="32"/>
      <c r="BA15" s="32"/>
      <c r="BB15" s="53"/>
      <c r="BC15" s="54" t="str">
        <f>IFERROR(VLOOKUP(June[[#This Row],[Drug Name8]],'Data Options'!$R$1:$S$100,2,FALSE), " ")</f>
        <v xml:space="preserve"> </v>
      </c>
      <c r="BD15" s="32"/>
      <c r="BE15" s="32"/>
      <c r="BF15" s="53"/>
      <c r="BG15" s="54" t="str">
        <f>IFERROR(VLOOKUP(June[[#This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54" t="str">
        <f>IFERROR(VLOOKUP(June[[#This Row],[Drug Name]],'Data Options'!$R$1:$S$100,2,FALSE), " ")</f>
        <v xml:space="preserve"> </v>
      </c>
      <c r="R16" s="32"/>
      <c r="S16" s="32"/>
      <c r="T16" s="53"/>
      <c r="U16" s="54" t="str">
        <f>IFERROR(VLOOKUP(June[[#This Row],[Drug Name2]],'Data Options'!$R$1:$S$100,2,FALSE), " ")</f>
        <v xml:space="preserve"> </v>
      </c>
      <c r="V16" s="32"/>
      <c r="W16" s="32"/>
      <c r="X16" s="53"/>
      <c r="Y16" s="54" t="str">
        <f>IFERROR(VLOOKUP(June[[#This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54" t="str">
        <f>IFERROR(VLOOKUP(June[[#This Row],[Drug Name4]],'Data Options'!$R$1:$S$100,2,FALSE), " ")</f>
        <v xml:space="preserve"> </v>
      </c>
      <c r="AI16" s="32"/>
      <c r="AJ16" s="32"/>
      <c r="AK16" s="53"/>
      <c r="AL16" s="54" t="str">
        <f>IFERROR(VLOOKUP(June[[#This Row],[Drug Name5]],'Data Options'!$R$1:$S$100,2,FALSE), " ")</f>
        <v xml:space="preserve"> </v>
      </c>
      <c r="AM16" s="32"/>
      <c r="AN16" s="32"/>
      <c r="AO16" s="53"/>
      <c r="AP16" s="54" t="str">
        <f>IFERROR(VLOOKUP(June[[#This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54" t="str">
        <f>IFERROR(VLOOKUP(June[[#This Row],[Drug Name7]],'Data Options'!$R$1:$S$100,2,FALSE), " ")</f>
        <v xml:space="preserve"> </v>
      </c>
      <c r="AZ16" s="32"/>
      <c r="BA16" s="32"/>
      <c r="BB16" s="53"/>
      <c r="BC16" s="54" t="str">
        <f>IFERROR(VLOOKUP(June[[#This Row],[Drug Name8]],'Data Options'!$R$1:$S$100,2,FALSE), " ")</f>
        <v xml:space="preserve"> </v>
      </c>
      <c r="BD16" s="32"/>
      <c r="BE16" s="32"/>
      <c r="BF16" s="53"/>
      <c r="BG16" s="54" t="str">
        <f>IFERROR(VLOOKUP(June[[#This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54" t="str">
        <f>IFERROR(VLOOKUP(June[[#This Row],[Drug Name]],'Data Options'!$R$1:$S$100,2,FALSE), " ")</f>
        <v xml:space="preserve"> </v>
      </c>
      <c r="R17" s="32"/>
      <c r="S17" s="32"/>
      <c r="T17" s="53"/>
      <c r="U17" s="54" t="str">
        <f>IFERROR(VLOOKUP(June[[#This Row],[Drug Name2]],'Data Options'!$R$1:$S$100,2,FALSE), " ")</f>
        <v xml:space="preserve"> </v>
      </c>
      <c r="V17" s="32"/>
      <c r="W17" s="32"/>
      <c r="X17" s="53"/>
      <c r="Y17" s="54" t="str">
        <f>IFERROR(VLOOKUP(June[[#This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54" t="str">
        <f>IFERROR(VLOOKUP(June[[#This Row],[Drug Name4]],'Data Options'!$R$1:$S$100,2,FALSE), " ")</f>
        <v xml:space="preserve"> </v>
      </c>
      <c r="AI17" s="32"/>
      <c r="AJ17" s="32"/>
      <c r="AK17" s="53"/>
      <c r="AL17" s="54" t="str">
        <f>IFERROR(VLOOKUP(June[[#This Row],[Drug Name5]],'Data Options'!$R$1:$S$100,2,FALSE), " ")</f>
        <v xml:space="preserve"> </v>
      </c>
      <c r="AM17" s="32"/>
      <c r="AN17" s="32"/>
      <c r="AO17" s="53"/>
      <c r="AP17" s="54" t="str">
        <f>IFERROR(VLOOKUP(June[[#This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54" t="str">
        <f>IFERROR(VLOOKUP(June[[#This Row],[Drug Name7]],'Data Options'!$R$1:$S$100,2,FALSE), " ")</f>
        <v xml:space="preserve"> </v>
      </c>
      <c r="AZ17" s="32"/>
      <c r="BA17" s="32"/>
      <c r="BB17" s="53"/>
      <c r="BC17" s="54" t="str">
        <f>IFERROR(VLOOKUP(June[[#This Row],[Drug Name8]],'Data Options'!$R$1:$S$100,2,FALSE), " ")</f>
        <v xml:space="preserve"> </v>
      </c>
      <c r="BD17" s="32"/>
      <c r="BE17" s="32"/>
      <c r="BF17" s="53"/>
      <c r="BG17" s="54" t="str">
        <f>IFERROR(VLOOKUP(June[[#This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54" t="str">
        <f>IFERROR(VLOOKUP(June[[#This Row],[Drug Name]],'Data Options'!$R$1:$S$100,2,FALSE), " ")</f>
        <v xml:space="preserve"> </v>
      </c>
      <c r="R18" s="32"/>
      <c r="S18" s="32"/>
      <c r="T18" s="53"/>
      <c r="U18" s="54" t="str">
        <f>IFERROR(VLOOKUP(June[[#This Row],[Drug Name2]],'Data Options'!$R$1:$S$100,2,FALSE), " ")</f>
        <v xml:space="preserve"> </v>
      </c>
      <c r="V18" s="32"/>
      <c r="W18" s="32"/>
      <c r="X18" s="53"/>
      <c r="Y18" s="54" t="str">
        <f>IFERROR(VLOOKUP(June[[#This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54" t="str">
        <f>IFERROR(VLOOKUP(June[[#This Row],[Drug Name4]],'Data Options'!$R$1:$S$100,2,FALSE), " ")</f>
        <v xml:space="preserve"> </v>
      </c>
      <c r="AI18" s="32"/>
      <c r="AJ18" s="32"/>
      <c r="AK18" s="53"/>
      <c r="AL18" s="54" t="str">
        <f>IFERROR(VLOOKUP(June[[#This Row],[Drug Name5]],'Data Options'!$R$1:$S$100,2,FALSE), " ")</f>
        <v xml:space="preserve"> </v>
      </c>
      <c r="AM18" s="32"/>
      <c r="AN18" s="32"/>
      <c r="AO18" s="53"/>
      <c r="AP18" s="54" t="str">
        <f>IFERROR(VLOOKUP(June[[#This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54" t="str">
        <f>IFERROR(VLOOKUP(June[[#This Row],[Drug Name7]],'Data Options'!$R$1:$S$100,2,FALSE), " ")</f>
        <v xml:space="preserve"> </v>
      </c>
      <c r="AZ18" s="32"/>
      <c r="BA18" s="32"/>
      <c r="BB18" s="53"/>
      <c r="BC18" s="54" t="str">
        <f>IFERROR(VLOOKUP(June[[#This Row],[Drug Name8]],'Data Options'!$R$1:$S$100,2,FALSE), " ")</f>
        <v xml:space="preserve"> </v>
      </c>
      <c r="BD18" s="32"/>
      <c r="BE18" s="32"/>
      <c r="BF18" s="53"/>
      <c r="BG18" s="54" t="str">
        <f>IFERROR(VLOOKUP(June[[#This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54" t="str">
        <f>IFERROR(VLOOKUP(June[[#This Row],[Drug Name]],'Data Options'!$R$1:$S$100,2,FALSE), " ")</f>
        <v xml:space="preserve"> </v>
      </c>
      <c r="R19" s="32"/>
      <c r="S19" s="32"/>
      <c r="T19" s="53"/>
      <c r="U19" s="54" t="str">
        <f>IFERROR(VLOOKUP(June[[#This Row],[Drug Name2]],'Data Options'!$R$1:$S$100,2,FALSE), " ")</f>
        <v xml:space="preserve"> </v>
      </c>
      <c r="V19" s="32"/>
      <c r="W19" s="32"/>
      <c r="X19" s="53"/>
      <c r="Y19" s="54" t="str">
        <f>IFERROR(VLOOKUP(June[[#This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54" t="str">
        <f>IFERROR(VLOOKUP(June[[#This Row],[Drug Name4]],'Data Options'!$R$1:$S$100,2,FALSE), " ")</f>
        <v xml:space="preserve"> </v>
      </c>
      <c r="AI19" s="32"/>
      <c r="AJ19" s="32"/>
      <c r="AK19" s="53"/>
      <c r="AL19" s="54" t="str">
        <f>IFERROR(VLOOKUP(June[[#This Row],[Drug Name5]],'Data Options'!$R$1:$S$100,2,FALSE), " ")</f>
        <v xml:space="preserve"> </v>
      </c>
      <c r="AM19" s="32"/>
      <c r="AN19" s="32"/>
      <c r="AO19" s="53"/>
      <c r="AP19" s="54" t="str">
        <f>IFERROR(VLOOKUP(June[[#This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54" t="str">
        <f>IFERROR(VLOOKUP(June[[#This Row],[Drug Name7]],'Data Options'!$R$1:$S$100,2,FALSE), " ")</f>
        <v xml:space="preserve"> </v>
      </c>
      <c r="AZ19" s="32"/>
      <c r="BA19" s="32"/>
      <c r="BB19" s="53"/>
      <c r="BC19" s="54" t="str">
        <f>IFERROR(VLOOKUP(June[[#This Row],[Drug Name8]],'Data Options'!$R$1:$S$100,2,FALSE), " ")</f>
        <v xml:space="preserve"> </v>
      </c>
      <c r="BD19" s="32"/>
      <c r="BE19" s="32"/>
      <c r="BF19" s="53"/>
      <c r="BG19" s="54" t="str">
        <f>IFERROR(VLOOKUP(June[[#This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54" t="str">
        <f>IFERROR(VLOOKUP(June[[#This Row],[Drug Name]],'Data Options'!$R$1:$S$100,2,FALSE), " ")</f>
        <v xml:space="preserve"> </v>
      </c>
      <c r="R20" s="32"/>
      <c r="S20" s="32"/>
      <c r="T20" s="53"/>
      <c r="U20" s="54" t="str">
        <f>IFERROR(VLOOKUP(June[[#This Row],[Drug Name2]],'Data Options'!$R$1:$S$100,2,FALSE), " ")</f>
        <v xml:space="preserve"> </v>
      </c>
      <c r="V20" s="32"/>
      <c r="W20" s="32"/>
      <c r="X20" s="53"/>
      <c r="Y20" s="54" t="str">
        <f>IFERROR(VLOOKUP(June[[#This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54" t="str">
        <f>IFERROR(VLOOKUP(June[[#This Row],[Drug Name4]],'Data Options'!$R$1:$S$100,2,FALSE), " ")</f>
        <v xml:space="preserve"> </v>
      </c>
      <c r="AI20" s="32"/>
      <c r="AJ20" s="32"/>
      <c r="AK20" s="53"/>
      <c r="AL20" s="54" t="str">
        <f>IFERROR(VLOOKUP(June[[#This Row],[Drug Name5]],'Data Options'!$R$1:$S$100,2,FALSE), " ")</f>
        <v xml:space="preserve"> </v>
      </c>
      <c r="AM20" s="32"/>
      <c r="AN20" s="32"/>
      <c r="AO20" s="53"/>
      <c r="AP20" s="54" t="str">
        <f>IFERROR(VLOOKUP(June[[#This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54" t="str">
        <f>IFERROR(VLOOKUP(June[[#This Row],[Drug Name7]],'Data Options'!$R$1:$S$100,2,FALSE), " ")</f>
        <v xml:space="preserve"> </v>
      </c>
      <c r="AZ20" s="32"/>
      <c r="BA20" s="32"/>
      <c r="BB20" s="53"/>
      <c r="BC20" s="54" t="str">
        <f>IFERROR(VLOOKUP(June[[#This Row],[Drug Name8]],'Data Options'!$R$1:$S$100,2,FALSE), " ")</f>
        <v xml:space="preserve"> </v>
      </c>
      <c r="BD20" s="32"/>
      <c r="BE20" s="32"/>
      <c r="BF20" s="53"/>
      <c r="BG20" s="54" t="str">
        <f>IFERROR(VLOOKUP(June[[#This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54" t="str">
        <f>IFERROR(VLOOKUP(June[[#This Row],[Drug Name]],'Data Options'!$R$1:$S$100,2,FALSE), " ")</f>
        <v xml:space="preserve"> </v>
      </c>
      <c r="R21" s="32"/>
      <c r="S21" s="32"/>
      <c r="T21" s="53"/>
      <c r="U21" s="54" t="str">
        <f>IFERROR(VLOOKUP(June[[#This Row],[Drug Name2]],'Data Options'!$R$1:$S$100,2,FALSE), " ")</f>
        <v xml:space="preserve"> </v>
      </c>
      <c r="V21" s="32"/>
      <c r="W21" s="32"/>
      <c r="X21" s="53"/>
      <c r="Y21" s="54" t="str">
        <f>IFERROR(VLOOKUP(June[[#This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54" t="str">
        <f>IFERROR(VLOOKUP(June[[#This Row],[Drug Name4]],'Data Options'!$R$1:$S$100,2,FALSE), " ")</f>
        <v xml:space="preserve"> </v>
      </c>
      <c r="AI21" s="32"/>
      <c r="AJ21" s="32"/>
      <c r="AK21" s="53"/>
      <c r="AL21" s="54" t="str">
        <f>IFERROR(VLOOKUP(June[[#This Row],[Drug Name5]],'Data Options'!$R$1:$S$100,2,FALSE), " ")</f>
        <v xml:space="preserve"> </v>
      </c>
      <c r="AM21" s="32"/>
      <c r="AN21" s="32"/>
      <c r="AO21" s="53"/>
      <c r="AP21" s="54" t="str">
        <f>IFERROR(VLOOKUP(June[[#This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54" t="str">
        <f>IFERROR(VLOOKUP(June[[#This Row],[Drug Name7]],'Data Options'!$R$1:$S$100,2,FALSE), " ")</f>
        <v xml:space="preserve"> </v>
      </c>
      <c r="AZ21" s="32"/>
      <c r="BA21" s="32"/>
      <c r="BB21" s="53"/>
      <c r="BC21" s="54" t="str">
        <f>IFERROR(VLOOKUP(June[[#This Row],[Drug Name8]],'Data Options'!$R$1:$S$100,2,FALSE), " ")</f>
        <v xml:space="preserve"> </v>
      </c>
      <c r="BD21" s="32"/>
      <c r="BE21" s="32"/>
      <c r="BF21" s="53"/>
      <c r="BG21" s="54" t="str">
        <f>IFERROR(VLOOKUP(June[[#This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54" t="str">
        <f>IFERROR(VLOOKUP(June[[#This Row],[Drug Name]],'Data Options'!$R$1:$S$100,2,FALSE), " ")</f>
        <v xml:space="preserve"> </v>
      </c>
      <c r="R22" s="32"/>
      <c r="S22" s="32"/>
      <c r="T22" s="53"/>
      <c r="U22" s="54" t="str">
        <f>IFERROR(VLOOKUP(June[[#This Row],[Drug Name2]],'Data Options'!$R$1:$S$100,2,FALSE), " ")</f>
        <v xml:space="preserve"> </v>
      </c>
      <c r="V22" s="32"/>
      <c r="W22" s="32"/>
      <c r="X22" s="53"/>
      <c r="Y22" s="54" t="str">
        <f>IFERROR(VLOOKUP(June[[#This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54" t="str">
        <f>IFERROR(VLOOKUP(June[[#This Row],[Drug Name4]],'Data Options'!$R$1:$S$100,2,FALSE), " ")</f>
        <v xml:space="preserve"> </v>
      </c>
      <c r="AI22" s="32"/>
      <c r="AJ22" s="32"/>
      <c r="AK22" s="53"/>
      <c r="AL22" s="54" t="str">
        <f>IFERROR(VLOOKUP(June[[#This Row],[Drug Name5]],'Data Options'!$R$1:$S$100,2,FALSE), " ")</f>
        <v xml:space="preserve"> </v>
      </c>
      <c r="AM22" s="32"/>
      <c r="AN22" s="32"/>
      <c r="AO22" s="53"/>
      <c r="AP22" s="54" t="str">
        <f>IFERROR(VLOOKUP(June[[#This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54" t="str">
        <f>IFERROR(VLOOKUP(June[[#This Row],[Drug Name7]],'Data Options'!$R$1:$S$100,2,FALSE), " ")</f>
        <v xml:space="preserve"> </v>
      </c>
      <c r="AZ22" s="32"/>
      <c r="BA22" s="32"/>
      <c r="BB22" s="53"/>
      <c r="BC22" s="54" t="str">
        <f>IFERROR(VLOOKUP(June[[#This Row],[Drug Name8]],'Data Options'!$R$1:$S$100,2,FALSE), " ")</f>
        <v xml:space="preserve"> </v>
      </c>
      <c r="BD22" s="32"/>
      <c r="BE22" s="32"/>
      <c r="BF22" s="53"/>
      <c r="BG22" s="54" t="str">
        <f>IFERROR(VLOOKUP(June[[#This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54" t="str">
        <f>IFERROR(VLOOKUP(June[[#This Row],[Drug Name]],'Data Options'!$R$1:$S$100,2,FALSE), " ")</f>
        <v xml:space="preserve"> </v>
      </c>
      <c r="R23" s="32"/>
      <c r="S23" s="32"/>
      <c r="T23" s="53"/>
      <c r="U23" s="54" t="str">
        <f>IFERROR(VLOOKUP(June[[#This Row],[Drug Name2]],'Data Options'!$R$1:$S$100,2,FALSE), " ")</f>
        <v xml:space="preserve"> </v>
      </c>
      <c r="V23" s="32"/>
      <c r="W23" s="32"/>
      <c r="X23" s="53"/>
      <c r="Y23" s="54" t="str">
        <f>IFERROR(VLOOKUP(June[[#This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54" t="str">
        <f>IFERROR(VLOOKUP(June[[#This Row],[Drug Name4]],'Data Options'!$R$1:$S$100,2,FALSE), " ")</f>
        <v xml:space="preserve"> </v>
      </c>
      <c r="AI23" s="32"/>
      <c r="AJ23" s="32"/>
      <c r="AK23" s="53"/>
      <c r="AL23" s="54" t="str">
        <f>IFERROR(VLOOKUP(June[[#This Row],[Drug Name5]],'Data Options'!$R$1:$S$100,2,FALSE), " ")</f>
        <v xml:space="preserve"> </v>
      </c>
      <c r="AM23" s="32"/>
      <c r="AN23" s="32"/>
      <c r="AO23" s="53"/>
      <c r="AP23" s="54" t="str">
        <f>IFERROR(VLOOKUP(June[[#This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54" t="str">
        <f>IFERROR(VLOOKUP(June[[#This Row],[Drug Name7]],'Data Options'!$R$1:$S$100,2,FALSE), " ")</f>
        <v xml:space="preserve"> </v>
      </c>
      <c r="AZ23" s="32"/>
      <c r="BA23" s="32"/>
      <c r="BB23" s="53"/>
      <c r="BC23" s="54" t="str">
        <f>IFERROR(VLOOKUP(June[[#This Row],[Drug Name8]],'Data Options'!$R$1:$S$100,2,FALSE), " ")</f>
        <v xml:space="preserve"> </v>
      </c>
      <c r="BD23" s="32"/>
      <c r="BE23" s="32"/>
      <c r="BF23" s="53"/>
      <c r="BG23" s="54" t="str">
        <f>IFERROR(VLOOKUP(June[[#This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54" t="str">
        <f>IFERROR(VLOOKUP(June[[#This Row],[Drug Name]],'Data Options'!$R$1:$S$100,2,FALSE), " ")</f>
        <v xml:space="preserve"> </v>
      </c>
      <c r="R24" s="32"/>
      <c r="S24" s="32"/>
      <c r="T24" s="53"/>
      <c r="U24" s="54" t="str">
        <f>IFERROR(VLOOKUP(June[[#This Row],[Drug Name2]],'Data Options'!$R$1:$S$100,2,FALSE), " ")</f>
        <v xml:space="preserve"> </v>
      </c>
      <c r="V24" s="32"/>
      <c r="W24" s="32"/>
      <c r="X24" s="53"/>
      <c r="Y24" s="54" t="str">
        <f>IFERROR(VLOOKUP(June[[#This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54" t="str">
        <f>IFERROR(VLOOKUP(June[[#This Row],[Drug Name4]],'Data Options'!$R$1:$S$100,2,FALSE), " ")</f>
        <v xml:space="preserve"> </v>
      </c>
      <c r="AI24" s="32"/>
      <c r="AJ24" s="32"/>
      <c r="AK24" s="53"/>
      <c r="AL24" s="54" t="str">
        <f>IFERROR(VLOOKUP(June[[#This Row],[Drug Name5]],'Data Options'!$R$1:$S$100,2,FALSE), " ")</f>
        <v xml:space="preserve"> </v>
      </c>
      <c r="AM24" s="32"/>
      <c r="AN24" s="32"/>
      <c r="AO24" s="53"/>
      <c r="AP24" s="54" t="str">
        <f>IFERROR(VLOOKUP(June[[#This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54" t="str">
        <f>IFERROR(VLOOKUP(June[[#This Row],[Drug Name7]],'Data Options'!$R$1:$S$100,2,FALSE), " ")</f>
        <v xml:space="preserve"> </v>
      </c>
      <c r="AZ24" s="32"/>
      <c r="BA24" s="32"/>
      <c r="BB24" s="53"/>
      <c r="BC24" s="54" t="str">
        <f>IFERROR(VLOOKUP(June[[#This Row],[Drug Name8]],'Data Options'!$R$1:$S$100,2,FALSE), " ")</f>
        <v xml:space="preserve"> </v>
      </c>
      <c r="BD24" s="32"/>
      <c r="BE24" s="32"/>
      <c r="BF24" s="53"/>
      <c r="BG24" s="54" t="str">
        <f>IFERROR(VLOOKUP(June[[#This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54" t="str">
        <f>IFERROR(VLOOKUP(June[[#This Row],[Drug Name]],'Data Options'!$R$1:$S$100,2,FALSE), " ")</f>
        <v xml:space="preserve"> </v>
      </c>
      <c r="R25" s="32"/>
      <c r="S25" s="32"/>
      <c r="T25" s="53"/>
      <c r="U25" s="54" t="str">
        <f>IFERROR(VLOOKUP(June[[#This Row],[Drug Name2]],'Data Options'!$R$1:$S$100,2,FALSE), " ")</f>
        <v xml:space="preserve"> </v>
      </c>
      <c r="V25" s="32"/>
      <c r="W25" s="32"/>
      <c r="X25" s="53"/>
      <c r="Y25" s="54" t="str">
        <f>IFERROR(VLOOKUP(June[[#This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54" t="str">
        <f>IFERROR(VLOOKUP(June[[#This Row],[Drug Name4]],'Data Options'!$R$1:$S$100,2,FALSE), " ")</f>
        <v xml:space="preserve"> </v>
      </c>
      <c r="AI25" s="32"/>
      <c r="AJ25" s="32"/>
      <c r="AK25" s="53"/>
      <c r="AL25" s="54" t="str">
        <f>IFERROR(VLOOKUP(June[[#This Row],[Drug Name5]],'Data Options'!$R$1:$S$100,2,FALSE), " ")</f>
        <v xml:space="preserve"> </v>
      </c>
      <c r="AM25" s="32"/>
      <c r="AN25" s="32"/>
      <c r="AO25" s="53"/>
      <c r="AP25" s="54" t="str">
        <f>IFERROR(VLOOKUP(June[[#This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54" t="str">
        <f>IFERROR(VLOOKUP(June[[#This Row],[Drug Name7]],'Data Options'!$R$1:$S$100,2,FALSE), " ")</f>
        <v xml:space="preserve"> </v>
      </c>
      <c r="AZ25" s="32"/>
      <c r="BA25" s="32"/>
      <c r="BB25" s="53"/>
      <c r="BC25" s="54" t="str">
        <f>IFERROR(VLOOKUP(June[[#This Row],[Drug Name8]],'Data Options'!$R$1:$S$100,2,FALSE), " ")</f>
        <v xml:space="preserve"> </v>
      </c>
      <c r="BD25" s="32"/>
      <c r="BE25" s="32"/>
      <c r="BF25" s="53"/>
      <c r="BG25" s="54" t="str">
        <f>IFERROR(VLOOKUP(June[[#This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54" t="str">
        <f>IFERROR(VLOOKUP(June[[#This Row],[Drug Name]],'Data Options'!$R$1:$S$100,2,FALSE), " ")</f>
        <v xml:space="preserve"> </v>
      </c>
      <c r="R26" s="32"/>
      <c r="S26" s="32"/>
      <c r="T26" s="53"/>
      <c r="U26" s="54" t="str">
        <f>IFERROR(VLOOKUP(June[[#This Row],[Drug Name2]],'Data Options'!$R$1:$S$100,2,FALSE), " ")</f>
        <v xml:space="preserve"> </v>
      </c>
      <c r="V26" s="32"/>
      <c r="W26" s="32"/>
      <c r="X26" s="53"/>
      <c r="Y26" s="54" t="str">
        <f>IFERROR(VLOOKUP(June[[#This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54" t="str">
        <f>IFERROR(VLOOKUP(June[[#This Row],[Drug Name4]],'Data Options'!$R$1:$S$100,2,FALSE), " ")</f>
        <v xml:space="preserve"> </v>
      </c>
      <c r="AI26" s="32"/>
      <c r="AJ26" s="32"/>
      <c r="AK26" s="53"/>
      <c r="AL26" s="54" t="str">
        <f>IFERROR(VLOOKUP(June[[#This Row],[Drug Name5]],'Data Options'!$R$1:$S$100,2,FALSE), " ")</f>
        <v xml:space="preserve"> </v>
      </c>
      <c r="AM26" s="32"/>
      <c r="AN26" s="32"/>
      <c r="AO26" s="53"/>
      <c r="AP26" s="54" t="str">
        <f>IFERROR(VLOOKUP(June[[#This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54" t="str">
        <f>IFERROR(VLOOKUP(June[[#This Row],[Drug Name7]],'Data Options'!$R$1:$S$100,2,FALSE), " ")</f>
        <v xml:space="preserve"> </v>
      </c>
      <c r="AZ26" s="32"/>
      <c r="BA26" s="32"/>
      <c r="BB26" s="53"/>
      <c r="BC26" s="54" t="str">
        <f>IFERROR(VLOOKUP(June[[#This Row],[Drug Name8]],'Data Options'!$R$1:$S$100,2,FALSE), " ")</f>
        <v xml:space="preserve"> </v>
      </c>
      <c r="BD26" s="32"/>
      <c r="BE26" s="32"/>
      <c r="BF26" s="53"/>
      <c r="BG26" s="54" t="str">
        <f>IFERROR(VLOOKUP(June[[#This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54" t="str">
        <f>IFERROR(VLOOKUP(June[[#This Row],[Drug Name]],'Data Options'!$R$1:$S$100,2,FALSE), " ")</f>
        <v xml:space="preserve"> </v>
      </c>
      <c r="R27" s="32"/>
      <c r="S27" s="32"/>
      <c r="T27" s="53"/>
      <c r="U27" s="54" t="str">
        <f>IFERROR(VLOOKUP(June[[#This Row],[Drug Name2]],'Data Options'!$R$1:$S$100,2,FALSE), " ")</f>
        <v xml:space="preserve"> </v>
      </c>
      <c r="V27" s="32"/>
      <c r="W27" s="32"/>
      <c r="X27" s="53"/>
      <c r="Y27" s="54" t="str">
        <f>IFERROR(VLOOKUP(June[[#This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54" t="str">
        <f>IFERROR(VLOOKUP(June[[#This Row],[Drug Name4]],'Data Options'!$R$1:$S$100,2,FALSE), " ")</f>
        <v xml:space="preserve"> </v>
      </c>
      <c r="AI27" s="32"/>
      <c r="AJ27" s="32"/>
      <c r="AK27" s="53"/>
      <c r="AL27" s="54" t="str">
        <f>IFERROR(VLOOKUP(June[[#This Row],[Drug Name5]],'Data Options'!$R$1:$S$100,2,FALSE), " ")</f>
        <v xml:space="preserve"> </v>
      </c>
      <c r="AM27" s="32"/>
      <c r="AN27" s="32"/>
      <c r="AO27" s="53"/>
      <c r="AP27" s="54" t="str">
        <f>IFERROR(VLOOKUP(June[[#This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54" t="str">
        <f>IFERROR(VLOOKUP(June[[#This Row],[Drug Name7]],'Data Options'!$R$1:$S$100,2,FALSE), " ")</f>
        <v xml:space="preserve"> </v>
      </c>
      <c r="AZ27" s="32"/>
      <c r="BA27" s="32"/>
      <c r="BB27" s="53"/>
      <c r="BC27" s="54" t="str">
        <f>IFERROR(VLOOKUP(June[[#This Row],[Drug Name8]],'Data Options'!$R$1:$S$100,2,FALSE), " ")</f>
        <v xml:space="preserve"> </v>
      </c>
      <c r="BD27" s="32"/>
      <c r="BE27" s="32"/>
      <c r="BF27" s="53"/>
      <c r="BG27" s="54" t="str">
        <f>IFERROR(VLOOKUP(June[[#This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54" t="str">
        <f>IFERROR(VLOOKUP(June[[#This Row],[Drug Name]],'Data Options'!$R$1:$S$100,2,FALSE), " ")</f>
        <v xml:space="preserve"> </v>
      </c>
      <c r="R28" s="32"/>
      <c r="S28" s="32"/>
      <c r="T28" s="53"/>
      <c r="U28" s="54" t="str">
        <f>IFERROR(VLOOKUP(June[[#This Row],[Drug Name2]],'Data Options'!$R$1:$S$100,2,FALSE), " ")</f>
        <v xml:space="preserve"> </v>
      </c>
      <c r="V28" s="32"/>
      <c r="W28" s="32"/>
      <c r="X28" s="53"/>
      <c r="Y28" s="54" t="str">
        <f>IFERROR(VLOOKUP(June[[#This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54" t="str">
        <f>IFERROR(VLOOKUP(June[[#This Row],[Drug Name4]],'Data Options'!$R$1:$S$100,2,FALSE), " ")</f>
        <v xml:space="preserve"> </v>
      </c>
      <c r="AI28" s="32"/>
      <c r="AJ28" s="32"/>
      <c r="AK28" s="53"/>
      <c r="AL28" s="54" t="str">
        <f>IFERROR(VLOOKUP(June[[#This Row],[Drug Name5]],'Data Options'!$R$1:$S$100,2,FALSE), " ")</f>
        <v xml:space="preserve"> </v>
      </c>
      <c r="AM28" s="32"/>
      <c r="AN28" s="32"/>
      <c r="AO28" s="53"/>
      <c r="AP28" s="54" t="str">
        <f>IFERROR(VLOOKUP(June[[#This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54" t="str">
        <f>IFERROR(VLOOKUP(June[[#This Row],[Drug Name7]],'Data Options'!$R$1:$S$100,2,FALSE), " ")</f>
        <v xml:space="preserve"> </v>
      </c>
      <c r="AZ28" s="32"/>
      <c r="BA28" s="32"/>
      <c r="BB28" s="53"/>
      <c r="BC28" s="54" t="str">
        <f>IFERROR(VLOOKUP(June[[#This Row],[Drug Name8]],'Data Options'!$R$1:$S$100,2,FALSE), " ")</f>
        <v xml:space="preserve"> </v>
      </c>
      <c r="BD28" s="32"/>
      <c r="BE28" s="32"/>
      <c r="BF28" s="53"/>
      <c r="BG28" s="54" t="str">
        <f>IFERROR(VLOOKUP(June[[#This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54" t="str">
        <f>IFERROR(VLOOKUP(June[[#This Row],[Drug Name]],'Data Options'!$R$1:$S$100,2,FALSE), " ")</f>
        <v xml:space="preserve"> </v>
      </c>
      <c r="R29" s="32"/>
      <c r="S29" s="32"/>
      <c r="T29" s="53"/>
      <c r="U29" s="54" t="str">
        <f>IFERROR(VLOOKUP(June[[#This Row],[Drug Name2]],'Data Options'!$R$1:$S$100,2,FALSE), " ")</f>
        <v xml:space="preserve"> </v>
      </c>
      <c r="V29" s="32"/>
      <c r="W29" s="32"/>
      <c r="X29" s="53"/>
      <c r="Y29" s="54" t="str">
        <f>IFERROR(VLOOKUP(June[[#This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54" t="str">
        <f>IFERROR(VLOOKUP(June[[#This Row],[Drug Name4]],'Data Options'!$R$1:$S$100,2,FALSE), " ")</f>
        <v xml:space="preserve"> </v>
      </c>
      <c r="AI29" s="32"/>
      <c r="AJ29" s="32"/>
      <c r="AK29" s="53"/>
      <c r="AL29" s="54" t="str">
        <f>IFERROR(VLOOKUP(June[[#This Row],[Drug Name5]],'Data Options'!$R$1:$S$100,2,FALSE), " ")</f>
        <v xml:space="preserve"> </v>
      </c>
      <c r="AM29" s="32"/>
      <c r="AN29" s="32"/>
      <c r="AO29" s="53"/>
      <c r="AP29" s="54" t="str">
        <f>IFERROR(VLOOKUP(June[[#This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54" t="str">
        <f>IFERROR(VLOOKUP(June[[#This Row],[Drug Name7]],'Data Options'!$R$1:$S$100,2,FALSE), " ")</f>
        <v xml:space="preserve"> </v>
      </c>
      <c r="AZ29" s="32"/>
      <c r="BA29" s="32"/>
      <c r="BB29" s="53"/>
      <c r="BC29" s="54" t="str">
        <f>IFERROR(VLOOKUP(June[[#This Row],[Drug Name8]],'Data Options'!$R$1:$S$100,2,FALSE), " ")</f>
        <v xml:space="preserve"> </v>
      </c>
      <c r="BD29" s="32"/>
      <c r="BE29" s="32"/>
      <c r="BF29" s="53"/>
      <c r="BG29" s="54" t="str">
        <f>IFERROR(VLOOKUP(June[[#This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54" t="str">
        <f>IFERROR(VLOOKUP(June[[#This Row],[Drug Name]],'Data Options'!$R$1:$S$100,2,FALSE), " ")</f>
        <v xml:space="preserve"> </v>
      </c>
      <c r="R30" s="32"/>
      <c r="S30" s="32"/>
      <c r="T30" s="53"/>
      <c r="U30" s="54" t="str">
        <f>IFERROR(VLOOKUP(June[[#This Row],[Drug Name2]],'Data Options'!$R$1:$S$100,2,FALSE), " ")</f>
        <v xml:space="preserve"> </v>
      </c>
      <c r="V30" s="32"/>
      <c r="W30" s="32"/>
      <c r="X30" s="53"/>
      <c r="Y30" s="54" t="str">
        <f>IFERROR(VLOOKUP(June[[#This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54" t="str">
        <f>IFERROR(VLOOKUP(June[[#This Row],[Drug Name4]],'Data Options'!$R$1:$S$100,2,FALSE), " ")</f>
        <v xml:space="preserve"> </v>
      </c>
      <c r="AI30" s="32"/>
      <c r="AJ30" s="32"/>
      <c r="AK30" s="53"/>
      <c r="AL30" s="54" t="str">
        <f>IFERROR(VLOOKUP(June[[#This Row],[Drug Name5]],'Data Options'!$R$1:$S$100,2,FALSE), " ")</f>
        <v xml:space="preserve"> </v>
      </c>
      <c r="AM30" s="32"/>
      <c r="AN30" s="32"/>
      <c r="AO30" s="53"/>
      <c r="AP30" s="54" t="str">
        <f>IFERROR(VLOOKUP(June[[#This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54" t="str">
        <f>IFERROR(VLOOKUP(June[[#This Row],[Drug Name7]],'Data Options'!$R$1:$S$100,2,FALSE), " ")</f>
        <v xml:space="preserve"> </v>
      </c>
      <c r="AZ30" s="32"/>
      <c r="BA30" s="32"/>
      <c r="BB30" s="53"/>
      <c r="BC30" s="54" t="str">
        <f>IFERROR(VLOOKUP(June[[#This Row],[Drug Name8]],'Data Options'!$R$1:$S$100,2,FALSE), " ")</f>
        <v xml:space="preserve"> </v>
      </c>
      <c r="BD30" s="32"/>
      <c r="BE30" s="32"/>
      <c r="BF30" s="53"/>
      <c r="BG30" s="54" t="str">
        <f>IFERROR(VLOOKUP(June[[#This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54" t="str">
        <f>IFERROR(VLOOKUP(June[[#This Row],[Drug Name]],'Data Options'!$R$1:$S$100,2,FALSE), " ")</f>
        <v xml:space="preserve"> </v>
      </c>
      <c r="R31" s="32"/>
      <c r="S31" s="32"/>
      <c r="T31" s="53"/>
      <c r="U31" s="54" t="str">
        <f>IFERROR(VLOOKUP(June[[#This Row],[Drug Name2]],'Data Options'!$R$1:$S$100,2,FALSE), " ")</f>
        <v xml:space="preserve"> </v>
      </c>
      <c r="V31" s="32"/>
      <c r="W31" s="32"/>
      <c r="X31" s="53"/>
      <c r="Y31" s="54" t="str">
        <f>IFERROR(VLOOKUP(June[[#This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54" t="str">
        <f>IFERROR(VLOOKUP(June[[#This Row],[Drug Name4]],'Data Options'!$R$1:$S$100,2,FALSE), " ")</f>
        <v xml:space="preserve"> </v>
      </c>
      <c r="AI31" s="32"/>
      <c r="AJ31" s="32"/>
      <c r="AK31" s="53"/>
      <c r="AL31" s="54" t="str">
        <f>IFERROR(VLOOKUP(June[[#This Row],[Drug Name5]],'Data Options'!$R$1:$S$100,2,FALSE), " ")</f>
        <v xml:space="preserve"> </v>
      </c>
      <c r="AM31" s="32"/>
      <c r="AN31" s="32"/>
      <c r="AO31" s="53"/>
      <c r="AP31" s="54" t="str">
        <f>IFERROR(VLOOKUP(June[[#This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54" t="str">
        <f>IFERROR(VLOOKUP(June[[#This Row],[Drug Name7]],'Data Options'!$R$1:$S$100,2,FALSE), " ")</f>
        <v xml:space="preserve"> </v>
      </c>
      <c r="AZ31" s="32"/>
      <c r="BA31" s="32"/>
      <c r="BB31" s="53"/>
      <c r="BC31" s="54" t="str">
        <f>IFERROR(VLOOKUP(June[[#This Row],[Drug Name8]],'Data Options'!$R$1:$S$100,2,FALSE), " ")</f>
        <v xml:space="preserve"> </v>
      </c>
      <c r="BD31" s="32"/>
      <c r="BE31" s="32"/>
      <c r="BF31" s="53"/>
      <c r="BG31" s="54" t="str">
        <f>IFERROR(VLOOKUP(June[[#This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54" t="str">
        <f>IFERROR(VLOOKUP(June[[#This Row],[Drug Name]],'Data Options'!$R$1:$S$100,2,FALSE), " ")</f>
        <v xml:space="preserve"> </v>
      </c>
      <c r="R32" s="32"/>
      <c r="S32" s="32"/>
      <c r="T32" s="53"/>
      <c r="U32" s="54" t="str">
        <f>IFERROR(VLOOKUP(June[[#This Row],[Drug Name2]],'Data Options'!$R$1:$S$100,2,FALSE), " ")</f>
        <v xml:space="preserve"> </v>
      </c>
      <c r="V32" s="32"/>
      <c r="W32" s="32"/>
      <c r="X32" s="53"/>
      <c r="Y32" s="54" t="str">
        <f>IFERROR(VLOOKUP(June[[#This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54" t="str">
        <f>IFERROR(VLOOKUP(June[[#This Row],[Drug Name4]],'Data Options'!$R$1:$S$100,2,FALSE), " ")</f>
        <v xml:space="preserve"> </v>
      </c>
      <c r="AI32" s="32"/>
      <c r="AJ32" s="32"/>
      <c r="AK32" s="53"/>
      <c r="AL32" s="54" t="str">
        <f>IFERROR(VLOOKUP(June[[#This Row],[Drug Name5]],'Data Options'!$R$1:$S$100,2,FALSE), " ")</f>
        <v xml:space="preserve"> </v>
      </c>
      <c r="AM32" s="32"/>
      <c r="AN32" s="32"/>
      <c r="AO32" s="53"/>
      <c r="AP32" s="54" t="str">
        <f>IFERROR(VLOOKUP(June[[#This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54" t="str">
        <f>IFERROR(VLOOKUP(June[[#This Row],[Drug Name7]],'Data Options'!$R$1:$S$100,2,FALSE), " ")</f>
        <v xml:space="preserve"> </v>
      </c>
      <c r="AZ32" s="32"/>
      <c r="BA32" s="32"/>
      <c r="BB32" s="53"/>
      <c r="BC32" s="54" t="str">
        <f>IFERROR(VLOOKUP(June[[#This Row],[Drug Name8]],'Data Options'!$R$1:$S$100,2,FALSE), " ")</f>
        <v xml:space="preserve"> </v>
      </c>
      <c r="BD32" s="32"/>
      <c r="BE32" s="32"/>
      <c r="BF32" s="53"/>
      <c r="BG32" s="54" t="str">
        <f>IFERROR(VLOOKUP(June[[#This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54" t="str">
        <f>IFERROR(VLOOKUP(June[[#This Row],[Drug Name]],'Data Options'!$R$1:$S$100,2,FALSE), " ")</f>
        <v xml:space="preserve"> </v>
      </c>
      <c r="R33" s="32"/>
      <c r="S33" s="32"/>
      <c r="T33" s="53"/>
      <c r="U33" s="54" t="str">
        <f>IFERROR(VLOOKUP(June[[#This Row],[Drug Name2]],'Data Options'!$R$1:$S$100,2,FALSE), " ")</f>
        <v xml:space="preserve"> </v>
      </c>
      <c r="V33" s="32"/>
      <c r="W33" s="32"/>
      <c r="X33" s="53"/>
      <c r="Y33" s="54" t="str">
        <f>IFERROR(VLOOKUP(June[[#This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54" t="str">
        <f>IFERROR(VLOOKUP(June[[#This Row],[Drug Name4]],'Data Options'!$R$1:$S$100,2,FALSE), " ")</f>
        <v xml:space="preserve"> </v>
      </c>
      <c r="AI33" s="32"/>
      <c r="AJ33" s="32"/>
      <c r="AK33" s="53"/>
      <c r="AL33" s="54" t="str">
        <f>IFERROR(VLOOKUP(June[[#This Row],[Drug Name5]],'Data Options'!$R$1:$S$100,2,FALSE), " ")</f>
        <v xml:space="preserve"> </v>
      </c>
      <c r="AM33" s="32"/>
      <c r="AN33" s="32"/>
      <c r="AO33" s="53"/>
      <c r="AP33" s="54" t="str">
        <f>IFERROR(VLOOKUP(June[[#This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54" t="str">
        <f>IFERROR(VLOOKUP(June[[#This Row],[Drug Name7]],'Data Options'!$R$1:$S$100,2,FALSE), " ")</f>
        <v xml:space="preserve"> </v>
      </c>
      <c r="AZ33" s="32"/>
      <c r="BA33" s="32"/>
      <c r="BB33" s="53"/>
      <c r="BC33" s="54" t="str">
        <f>IFERROR(VLOOKUP(June[[#This Row],[Drug Name8]],'Data Options'!$R$1:$S$100,2,FALSE), " ")</f>
        <v xml:space="preserve"> </v>
      </c>
      <c r="BD33" s="32"/>
      <c r="BE33" s="32"/>
      <c r="BF33" s="53"/>
      <c r="BG33" s="54" t="str">
        <f>IFERROR(VLOOKUP(June[[#This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54" t="str">
        <f>IFERROR(VLOOKUP(June[[#This Row],[Drug Name]],'Data Options'!$R$1:$S$100,2,FALSE), " ")</f>
        <v xml:space="preserve"> </v>
      </c>
      <c r="R34" s="32"/>
      <c r="S34" s="32"/>
      <c r="T34" s="53"/>
      <c r="U34" s="54" t="str">
        <f>IFERROR(VLOOKUP(June[[#This Row],[Drug Name2]],'Data Options'!$R$1:$S$100,2,FALSE), " ")</f>
        <v xml:space="preserve"> </v>
      </c>
      <c r="V34" s="32"/>
      <c r="W34" s="32"/>
      <c r="X34" s="53"/>
      <c r="Y34" s="54" t="str">
        <f>IFERROR(VLOOKUP(June[[#This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54" t="str">
        <f>IFERROR(VLOOKUP(June[[#This Row],[Drug Name4]],'Data Options'!$R$1:$S$100,2,FALSE), " ")</f>
        <v xml:space="preserve"> </v>
      </c>
      <c r="AI34" s="32"/>
      <c r="AJ34" s="32"/>
      <c r="AK34" s="53"/>
      <c r="AL34" s="54" t="str">
        <f>IFERROR(VLOOKUP(June[[#This Row],[Drug Name5]],'Data Options'!$R$1:$S$100,2,FALSE), " ")</f>
        <v xml:space="preserve"> </v>
      </c>
      <c r="AM34" s="32"/>
      <c r="AN34" s="32"/>
      <c r="AO34" s="53"/>
      <c r="AP34" s="54" t="str">
        <f>IFERROR(VLOOKUP(June[[#This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54" t="str">
        <f>IFERROR(VLOOKUP(June[[#This Row],[Drug Name7]],'Data Options'!$R$1:$S$100,2,FALSE), " ")</f>
        <v xml:space="preserve"> </v>
      </c>
      <c r="AZ34" s="32"/>
      <c r="BA34" s="32"/>
      <c r="BB34" s="53"/>
      <c r="BC34" s="54" t="str">
        <f>IFERROR(VLOOKUP(June[[#This Row],[Drug Name8]],'Data Options'!$R$1:$S$100,2,FALSE), " ")</f>
        <v xml:space="preserve"> </v>
      </c>
      <c r="BD34" s="32"/>
      <c r="BE34" s="32"/>
      <c r="BF34" s="53"/>
      <c r="BG34" s="54" t="str">
        <f>IFERROR(VLOOKUP(June[[#This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54" t="str">
        <f>IFERROR(VLOOKUP(June[[#This Row],[Drug Name]],'Data Options'!$R$1:$S$100,2,FALSE), " ")</f>
        <v xml:space="preserve"> </v>
      </c>
      <c r="R35" s="32"/>
      <c r="S35" s="32"/>
      <c r="T35" s="53"/>
      <c r="U35" s="54" t="str">
        <f>IFERROR(VLOOKUP(June[[#This Row],[Drug Name2]],'Data Options'!$R$1:$S$100,2,FALSE), " ")</f>
        <v xml:space="preserve"> </v>
      </c>
      <c r="V35" s="32"/>
      <c r="W35" s="32"/>
      <c r="X35" s="53"/>
      <c r="Y35" s="54" t="str">
        <f>IFERROR(VLOOKUP(June[[#This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54" t="str">
        <f>IFERROR(VLOOKUP(June[[#This Row],[Drug Name4]],'Data Options'!$R$1:$S$100,2,FALSE), " ")</f>
        <v xml:space="preserve"> </v>
      </c>
      <c r="AI35" s="32"/>
      <c r="AJ35" s="32"/>
      <c r="AK35" s="53"/>
      <c r="AL35" s="54" t="str">
        <f>IFERROR(VLOOKUP(June[[#This Row],[Drug Name5]],'Data Options'!$R$1:$S$100,2,FALSE), " ")</f>
        <v xml:space="preserve"> </v>
      </c>
      <c r="AM35" s="32"/>
      <c r="AN35" s="32"/>
      <c r="AO35" s="53"/>
      <c r="AP35" s="54" t="str">
        <f>IFERROR(VLOOKUP(June[[#This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54" t="str">
        <f>IFERROR(VLOOKUP(June[[#This Row],[Drug Name7]],'Data Options'!$R$1:$S$100,2,FALSE), " ")</f>
        <v xml:space="preserve"> </v>
      </c>
      <c r="AZ35" s="32"/>
      <c r="BA35" s="32"/>
      <c r="BB35" s="53"/>
      <c r="BC35" s="54" t="str">
        <f>IFERROR(VLOOKUP(June[[#This Row],[Drug Name8]],'Data Options'!$R$1:$S$100,2,FALSE), " ")</f>
        <v xml:space="preserve"> </v>
      </c>
      <c r="BD35" s="32"/>
      <c r="BE35" s="32"/>
      <c r="BF35" s="53"/>
      <c r="BG35" s="54" t="str">
        <f>IFERROR(VLOOKUP(June[[#This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54" t="str">
        <f>IFERROR(VLOOKUP(June[[#This Row],[Drug Name]],'Data Options'!$R$1:$S$100,2,FALSE), " ")</f>
        <v xml:space="preserve"> </v>
      </c>
      <c r="R36" s="32"/>
      <c r="S36" s="32"/>
      <c r="T36" s="53"/>
      <c r="U36" s="54" t="str">
        <f>IFERROR(VLOOKUP(June[[#This Row],[Drug Name2]],'Data Options'!$R$1:$S$100,2,FALSE), " ")</f>
        <v xml:space="preserve"> </v>
      </c>
      <c r="V36" s="32"/>
      <c r="W36" s="32"/>
      <c r="X36" s="53"/>
      <c r="Y36" s="54" t="str">
        <f>IFERROR(VLOOKUP(June[[#This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54" t="str">
        <f>IFERROR(VLOOKUP(June[[#This Row],[Drug Name4]],'Data Options'!$R$1:$S$100,2,FALSE), " ")</f>
        <v xml:space="preserve"> </v>
      </c>
      <c r="AI36" s="32"/>
      <c r="AJ36" s="32"/>
      <c r="AK36" s="53"/>
      <c r="AL36" s="54" t="str">
        <f>IFERROR(VLOOKUP(June[[#This Row],[Drug Name5]],'Data Options'!$R$1:$S$100,2,FALSE), " ")</f>
        <v xml:space="preserve"> </v>
      </c>
      <c r="AM36" s="32"/>
      <c r="AN36" s="32"/>
      <c r="AO36" s="53"/>
      <c r="AP36" s="54" t="str">
        <f>IFERROR(VLOOKUP(June[[#This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54" t="str">
        <f>IFERROR(VLOOKUP(June[[#This Row],[Drug Name7]],'Data Options'!$R$1:$S$100,2,FALSE), " ")</f>
        <v xml:space="preserve"> </v>
      </c>
      <c r="AZ36" s="32"/>
      <c r="BA36" s="32"/>
      <c r="BB36" s="53"/>
      <c r="BC36" s="54" t="str">
        <f>IFERROR(VLOOKUP(June[[#This Row],[Drug Name8]],'Data Options'!$R$1:$S$100,2,FALSE), " ")</f>
        <v xml:space="preserve"> </v>
      </c>
      <c r="BD36" s="32"/>
      <c r="BE36" s="32"/>
      <c r="BF36" s="53"/>
      <c r="BG36" s="54" t="str">
        <f>IFERROR(VLOOKUP(June[[#This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54" t="str">
        <f>IFERROR(VLOOKUP(June[[#This Row],[Drug Name]],'Data Options'!$R$1:$S$100,2,FALSE), " ")</f>
        <v xml:space="preserve"> </v>
      </c>
      <c r="R37" s="32"/>
      <c r="S37" s="32"/>
      <c r="T37" s="53"/>
      <c r="U37" s="54" t="str">
        <f>IFERROR(VLOOKUP(June[[#This Row],[Drug Name2]],'Data Options'!$R$1:$S$100,2,FALSE), " ")</f>
        <v xml:space="preserve"> </v>
      </c>
      <c r="V37" s="32"/>
      <c r="W37" s="32"/>
      <c r="X37" s="53"/>
      <c r="Y37" s="54" t="str">
        <f>IFERROR(VLOOKUP(June[[#This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54" t="str">
        <f>IFERROR(VLOOKUP(June[[#This Row],[Drug Name4]],'Data Options'!$R$1:$S$100,2,FALSE), " ")</f>
        <v xml:space="preserve"> </v>
      </c>
      <c r="AI37" s="32"/>
      <c r="AJ37" s="32"/>
      <c r="AK37" s="53"/>
      <c r="AL37" s="54" t="str">
        <f>IFERROR(VLOOKUP(June[[#This Row],[Drug Name5]],'Data Options'!$R$1:$S$100,2,FALSE), " ")</f>
        <v xml:space="preserve"> </v>
      </c>
      <c r="AM37" s="32"/>
      <c r="AN37" s="32"/>
      <c r="AO37" s="53"/>
      <c r="AP37" s="54" t="str">
        <f>IFERROR(VLOOKUP(June[[#This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54" t="str">
        <f>IFERROR(VLOOKUP(June[[#This Row],[Drug Name7]],'Data Options'!$R$1:$S$100,2,FALSE), " ")</f>
        <v xml:space="preserve"> </v>
      </c>
      <c r="AZ37" s="32"/>
      <c r="BA37" s="32"/>
      <c r="BB37" s="53"/>
      <c r="BC37" s="54" t="str">
        <f>IFERROR(VLOOKUP(June[[#This Row],[Drug Name8]],'Data Options'!$R$1:$S$100,2,FALSE), " ")</f>
        <v xml:space="preserve"> </v>
      </c>
      <c r="BD37" s="32"/>
      <c r="BE37" s="32"/>
      <c r="BF37" s="53"/>
      <c r="BG37" s="54" t="str">
        <f>IFERROR(VLOOKUP(June[[#This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54" t="str">
        <f>IFERROR(VLOOKUP(June[[#This Row],[Drug Name]],'Data Options'!$R$1:$S$100,2,FALSE), " ")</f>
        <v xml:space="preserve"> </v>
      </c>
      <c r="R38" s="32"/>
      <c r="S38" s="32"/>
      <c r="T38" s="53"/>
      <c r="U38" s="54" t="str">
        <f>IFERROR(VLOOKUP(June[[#This Row],[Drug Name2]],'Data Options'!$R$1:$S$100,2,FALSE), " ")</f>
        <v xml:space="preserve"> </v>
      </c>
      <c r="V38" s="32"/>
      <c r="W38" s="32"/>
      <c r="X38" s="53"/>
      <c r="Y38" s="54" t="str">
        <f>IFERROR(VLOOKUP(June[[#This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54" t="str">
        <f>IFERROR(VLOOKUP(June[[#This Row],[Drug Name4]],'Data Options'!$R$1:$S$100,2,FALSE), " ")</f>
        <v xml:space="preserve"> </v>
      </c>
      <c r="AI38" s="32"/>
      <c r="AJ38" s="32"/>
      <c r="AK38" s="53"/>
      <c r="AL38" s="54" t="str">
        <f>IFERROR(VLOOKUP(June[[#This Row],[Drug Name5]],'Data Options'!$R$1:$S$100,2,FALSE), " ")</f>
        <v xml:space="preserve"> </v>
      </c>
      <c r="AM38" s="32"/>
      <c r="AN38" s="32"/>
      <c r="AO38" s="53"/>
      <c r="AP38" s="54" t="str">
        <f>IFERROR(VLOOKUP(June[[#This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54" t="str">
        <f>IFERROR(VLOOKUP(June[[#This Row],[Drug Name7]],'Data Options'!$R$1:$S$100,2,FALSE), " ")</f>
        <v xml:space="preserve"> </v>
      </c>
      <c r="AZ38" s="32"/>
      <c r="BA38" s="32"/>
      <c r="BB38" s="53"/>
      <c r="BC38" s="54" t="str">
        <f>IFERROR(VLOOKUP(June[[#This Row],[Drug Name8]],'Data Options'!$R$1:$S$100,2,FALSE), " ")</f>
        <v xml:space="preserve"> </v>
      </c>
      <c r="BD38" s="32"/>
      <c r="BE38" s="32"/>
      <c r="BF38" s="53"/>
      <c r="BG38" s="54" t="str">
        <f>IFERROR(VLOOKUP(June[[#This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54" t="str">
        <f>IFERROR(VLOOKUP(June[[#This Row],[Drug Name]],'Data Options'!$R$1:$S$100,2,FALSE), " ")</f>
        <v xml:space="preserve"> </v>
      </c>
      <c r="R39" s="32"/>
      <c r="S39" s="32"/>
      <c r="T39" s="53"/>
      <c r="U39" s="54" t="str">
        <f>IFERROR(VLOOKUP(June[[#This Row],[Drug Name2]],'Data Options'!$R$1:$S$100,2,FALSE), " ")</f>
        <v xml:space="preserve"> </v>
      </c>
      <c r="V39" s="32"/>
      <c r="W39" s="32"/>
      <c r="X39" s="53"/>
      <c r="Y39" s="54" t="str">
        <f>IFERROR(VLOOKUP(June[[#This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54" t="str">
        <f>IFERROR(VLOOKUP(June[[#This Row],[Drug Name4]],'Data Options'!$R$1:$S$100,2,FALSE), " ")</f>
        <v xml:space="preserve"> </v>
      </c>
      <c r="AI39" s="32"/>
      <c r="AJ39" s="32"/>
      <c r="AK39" s="53"/>
      <c r="AL39" s="54" t="str">
        <f>IFERROR(VLOOKUP(June[[#This Row],[Drug Name5]],'Data Options'!$R$1:$S$100,2,FALSE), " ")</f>
        <v xml:space="preserve"> </v>
      </c>
      <c r="AM39" s="32"/>
      <c r="AN39" s="32"/>
      <c r="AO39" s="53"/>
      <c r="AP39" s="54" t="str">
        <f>IFERROR(VLOOKUP(June[[#This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54" t="str">
        <f>IFERROR(VLOOKUP(June[[#This Row],[Drug Name7]],'Data Options'!$R$1:$S$100,2,FALSE), " ")</f>
        <v xml:space="preserve"> </v>
      </c>
      <c r="AZ39" s="32"/>
      <c r="BA39" s="32"/>
      <c r="BB39" s="53"/>
      <c r="BC39" s="54" t="str">
        <f>IFERROR(VLOOKUP(June[[#This Row],[Drug Name8]],'Data Options'!$R$1:$S$100,2,FALSE), " ")</f>
        <v xml:space="preserve"> </v>
      </c>
      <c r="BD39" s="32"/>
      <c r="BE39" s="32"/>
      <c r="BF39" s="53"/>
      <c r="BG39" s="54" t="str">
        <f>IFERROR(VLOOKUP(June[[#This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54" t="str">
        <f>IFERROR(VLOOKUP(June[[#This Row],[Drug Name]],'Data Options'!$R$1:$S$100,2,FALSE), " ")</f>
        <v xml:space="preserve"> </v>
      </c>
      <c r="R40" s="32"/>
      <c r="S40" s="32"/>
      <c r="T40" s="53"/>
      <c r="U40" s="54" t="str">
        <f>IFERROR(VLOOKUP(June[[#This Row],[Drug Name2]],'Data Options'!$R$1:$S$100,2,FALSE), " ")</f>
        <v xml:space="preserve"> </v>
      </c>
      <c r="V40" s="32"/>
      <c r="W40" s="32"/>
      <c r="X40" s="53"/>
      <c r="Y40" s="54" t="str">
        <f>IFERROR(VLOOKUP(June[[#This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54" t="str">
        <f>IFERROR(VLOOKUP(June[[#This Row],[Drug Name4]],'Data Options'!$R$1:$S$100,2,FALSE), " ")</f>
        <v xml:space="preserve"> </v>
      </c>
      <c r="AI40" s="32"/>
      <c r="AJ40" s="32"/>
      <c r="AK40" s="53"/>
      <c r="AL40" s="54" t="str">
        <f>IFERROR(VLOOKUP(June[[#This Row],[Drug Name5]],'Data Options'!$R$1:$S$100,2,FALSE), " ")</f>
        <v xml:space="preserve"> </v>
      </c>
      <c r="AM40" s="32"/>
      <c r="AN40" s="32"/>
      <c r="AO40" s="53"/>
      <c r="AP40" s="54" t="str">
        <f>IFERROR(VLOOKUP(June[[#This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54" t="str">
        <f>IFERROR(VLOOKUP(June[[#This Row],[Drug Name7]],'Data Options'!$R$1:$S$100,2,FALSE), " ")</f>
        <v xml:space="preserve"> </v>
      </c>
      <c r="AZ40" s="32"/>
      <c r="BA40" s="32"/>
      <c r="BB40" s="53"/>
      <c r="BC40" s="54" t="str">
        <f>IFERROR(VLOOKUP(June[[#This Row],[Drug Name8]],'Data Options'!$R$1:$S$100,2,FALSE), " ")</f>
        <v xml:space="preserve"> </v>
      </c>
      <c r="BD40" s="32"/>
      <c r="BE40" s="32"/>
      <c r="BF40" s="53"/>
      <c r="BG40" s="54" t="str">
        <f>IFERROR(VLOOKUP(June[[#This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54" t="str">
        <f>IFERROR(VLOOKUP(June[[#This Row],[Drug Name]],'Data Options'!$R$1:$S$100,2,FALSE), " ")</f>
        <v xml:space="preserve"> </v>
      </c>
      <c r="R41" s="32"/>
      <c r="S41" s="32"/>
      <c r="T41" s="53"/>
      <c r="U41" s="54" t="str">
        <f>IFERROR(VLOOKUP(June[[#This Row],[Drug Name2]],'Data Options'!$R$1:$S$100,2,FALSE), " ")</f>
        <v xml:space="preserve"> </v>
      </c>
      <c r="V41" s="32"/>
      <c r="W41" s="32"/>
      <c r="X41" s="53"/>
      <c r="Y41" s="54" t="str">
        <f>IFERROR(VLOOKUP(June[[#This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54" t="str">
        <f>IFERROR(VLOOKUP(June[[#This Row],[Drug Name4]],'Data Options'!$R$1:$S$100,2,FALSE), " ")</f>
        <v xml:space="preserve"> </v>
      </c>
      <c r="AI41" s="32"/>
      <c r="AJ41" s="32"/>
      <c r="AK41" s="53"/>
      <c r="AL41" s="54" t="str">
        <f>IFERROR(VLOOKUP(June[[#This Row],[Drug Name5]],'Data Options'!$R$1:$S$100,2,FALSE), " ")</f>
        <v xml:space="preserve"> </v>
      </c>
      <c r="AM41" s="32"/>
      <c r="AN41" s="32"/>
      <c r="AO41" s="53"/>
      <c r="AP41" s="54" t="str">
        <f>IFERROR(VLOOKUP(June[[#This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54" t="str">
        <f>IFERROR(VLOOKUP(June[[#This Row],[Drug Name7]],'Data Options'!$R$1:$S$100,2,FALSE), " ")</f>
        <v xml:space="preserve"> </v>
      </c>
      <c r="AZ41" s="32"/>
      <c r="BA41" s="32"/>
      <c r="BB41" s="53"/>
      <c r="BC41" s="54" t="str">
        <f>IFERROR(VLOOKUP(June[[#This Row],[Drug Name8]],'Data Options'!$R$1:$S$100,2,FALSE), " ")</f>
        <v xml:space="preserve"> </v>
      </c>
      <c r="BD41" s="32"/>
      <c r="BE41" s="32"/>
      <c r="BF41" s="53"/>
      <c r="BG41" s="54" t="str">
        <f>IFERROR(VLOOKUP(June[[#This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54" t="str">
        <f>IFERROR(VLOOKUP(June[[#This Row],[Drug Name]],'Data Options'!$R$1:$S$100,2,FALSE), " ")</f>
        <v xml:space="preserve"> </v>
      </c>
      <c r="R42" s="32"/>
      <c r="S42" s="32"/>
      <c r="T42" s="53"/>
      <c r="U42" s="54" t="str">
        <f>IFERROR(VLOOKUP(June[[#This Row],[Drug Name2]],'Data Options'!$R$1:$S$100,2,FALSE), " ")</f>
        <v xml:space="preserve"> </v>
      </c>
      <c r="V42" s="32"/>
      <c r="W42" s="32"/>
      <c r="X42" s="53"/>
      <c r="Y42" s="54" t="str">
        <f>IFERROR(VLOOKUP(June[[#This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54" t="str">
        <f>IFERROR(VLOOKUP(June[[#This Row],[Drug Name4]],'Data Options'!$R$1:$S$100,2,FALSE), " ")</f>
        <v xml:space="preserve"> </v>
      </c>
      <c r="AI42" s="32"/>
      <c r="AJ42" s="32"/>
      <c r="AK42" s="53"/>
      <c r="AL42" s="54" t="str">
        <f>IFERROR(VLOOKUP(June[[#This Row],[Drug Name5]],'Data Options'!$R$1:$S$100,2,FALSE), " ")</f>
        <v xml:space="preserve"> </v>
      </c>
      <c r="AM42" s="32"/>
      <c r="AN42" s="32"/>
      <c r="AO42" s="53"/>
      <c r="AP42" s="54" t="str">
        <f>IFERROR(VLOOKUP(June[[#This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54" t="str">
        <f>IFERROR(VLOOKUP(June[[#This Row],[Drug Name7]],'Data Options'!$R$1:$S$100,2,FALSE), " ")</f>
        <v xml:space="preserve"> </v>
      </c>
      <c r="AZ42" s="32"/>
      <c r="BA42" s="32"/>
      <c r="BB42" s="53"/>
      <c r="BC42" s="54" t="str">
        <f>IFERROR(VLOOKUP(June[[#This Row],[Drug Name8]],'Data Options'!$R$1:$S$100,2,FALSE), " ")</f>
        <v xml:space="preserve"> </v>
      </c>
      <c r="BD42" s="32"/>
      <c r="BE42" s="32"/>
      <c r="BF42" s="53"/>
      <c r="BG42" s="54" t="str">
        <f>IFERROR(VLOOKUP(June[[#This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54" t="str">
        <f>IFERROR(VLOOKUP(June[[#This Row],[Drug Name]],'Data Options'!$R$1:$S$100,2,FALSE), " ")</f>
        <v xml:space="preserve"> </v>
      </c>
      <c r="R43" s="32"/>
      <c r="S43" s="32"/>
      <c r="T43" s="53"/>
      <c r="U43" s="54" t="str">
        <f>IFERROR(VLOOKUP(June[[#This Row],[Drug Name2]],'Data Options'!$R$1:$S$100,2,FALSE), " ")</f>
        <v xml:space="preserve"> </v>
      </c>
      <c r="V43" s="32"/>
      <c r="W43" s="32"/>
      <c r="X43" s="53"/>
      <c r="Y43" s="54" t="str">
        <f>IFERROR(VLOOKUP(June[[#This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54" t="str">
        <f>IFERROR(VLOOKUP(June[[#This Row],[Drug Name4]],'Data Options'!$R$1:$S$100,2,FALSE), " ")</f>
        <v xml:space="preserve"> </v>
      </c>
      <c r="AI43" s="32"/>
      <c r="AJ43" s="32"/>
      <c r="AK43" s="53"/>
      <c r="AL43" s="54" t="str">
        <f>IFERROR(VLOOKUP(June[[#This Row],[Drug Name5]],'Data Options'!$R$1:$S$100,2,FALSE), " ")</f>
        <v xml:space="preserve"> </v>
      </c>
      <c r="AM43" s="32"/>
      <c r="AN43" s="32"/>
      <c r="AO43" s="53"/>
      <c r="AP43" s="54" t="str">
        <f>IFERROR(VLOOKUP(June[[#This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54" t="str">
        <f>IFERROR(VLOOKUP(June[[#This Row],[Drug Name7]],'Data Options'!$R$1:$S$100,2,FALSE), " ")</f>
        <v xml:space="preserve"> </v>
      </c>
      <c r="AZ43" s="32"/>
      <c r="BA43" s="32"/>
      <c r="BB43" s="53"/>
      <c r="BC43" s="54" t="str">
        <f>IFERROR(VLOOKUP(June[[#This Row],[Drug Name8]],'Data Options'!$R$1:$S$100,2,FALSE), " ")</f>
        <v xml:space="preserve"> </v>
      </c>
      <c r="BD43" s="32"/>
      <c r="BE43" s="32"/>
      <c r="BF43" s="53"/>
      <c r="BG43" s="54" t="str">
        <f>IFERROR(VLOOKUP(June[[#This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54" t="str">
        <f>IFERROR(VLOOKUP(June[[#This Row],[Drug Name]],'Data Options'!$R$1:$S$100,2,FALSE), " ")</f>
        <v xml:space="preserve"> </v>
      </c>
      <c r="R44" s="32"/>
      <c r="S44" s="32"/>
      <c r="T44" s="53"/>
      <c r="U44" s="54" t="str">
        <f>IFERROR(VLOOKUP(June[[#This Row],[Drug Name2]],'Data Options'!$R$1:$S$100,2,FALSE), " ")</f>
        <v xml:space="preserve"> </v>
      </c>
      <c r="V44" s="32"/>
      <c r="W44" s="32"/>
      <c r="X44" s="53"/>
      <c r="Y44" s="54" t="str">
        <f>IFERROR(VLOOKUP(June[[#This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54" t="str">
        <f>IFERROR(VLOOKUP(June[[#This Row],[Drug Name4]],'Data Options'!$R$1:$S$100,2,FALSE), " ")</f>
        <v xml:space="preserve"> </v>
      </c>
      <c r="AI44" s="32"/>
      <c r="AJ44" s="32"/>
      <c r="AK44" s="53"/>
      <c r="AL44" s="54" t="str">
        <f>IFERROR(VLOOKUP(June[[#This Row],[Drug Name5]],'Data Options'!$R$1:$S$100,2,FALSE), " ")</f>
        <v xml:space="preserve"> </v>
      </c>
      <c r="AM44" s="32"/>
      <c r="AN44" s="32"/>
      <c r="AO44" s="53"/>
      <c r="AP44" s="54" t="str">
        <f>IFERROR(VLOOKUP(June[[#This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54" t="str">
        <f>IFERROR(VLOOKUP(June[[#This Row],[Drug Name7]],'Data Options'!$R$1:$S$100,2,FALSE), " ")</f>
        <v xml:space="preserve"> </v>
      </c>
      <c r="AZ44" s="32"/>
      <c r="BA44" s="32"/>
      <c r="BB44" s="53"/>
      <c r="BC44" s="54" t="str">
        <f>IFERROR(VLOOKUP(June[[#This Row],[Drug Name8]],'Data Options'!$R$1:$S$100,2,FALSE), " ")</f>
        <v xml:space="preserve"> </v>
      </c>
      <c r="BD44" s="32"/>
      <c r="BE44" s="32"/>
      <c r="BF44" s="53"/>
      <c r="BG44" s="54" t="str">
        <f>IFERROR(VLOOKUP(June[[#This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54" t="str">
        <f>IFERROR(VLOOKUP(June[[#This Row],[Drug Name]],'Data Options'!$R$1:$S$100,2,FALSE), " ")</f>
        <v xml:space="preserve"> </v>
      </c>
      <c r="R45" s="32"/>
      <c r="S45" s="32"/>
      <c r="T45" s="53"/>
      <c r="U45" s="54" t="str">
        <f>IFERROR(VLOOKUP(June[[#This Row],[Drug Name2]],'Data Options'!$R$1:$S$100,2,FALSE), " ")</f>
        <v xml:space="preserve"> </v>
      </c>
      <c r="V45" s="32"/>
      <c r="W45" s="32"/>
      <c r="X45" s="53"/>
      <c r="Y45" s="54" t="str">
        <f>IFERROR(VLOOKUP(June[[#This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54" t="str">
        <f>IFERROR(VLOOKUP(June[[#This Row],[Drug Name4]],'Data Options'!$R$1:$S$100,2,FALSE), " ")</f>
        <v xml:space="preserve"> </v>
      </c>
      <c r="AI45" s="32"/>
      <c r="AJ45" s="32"/>
      <c r="AK45" s="53"/>
      <c r="AL45" s="54" t="str">
        <f>IFERROR(VLOOKUP(June[[#This Row],[Drug Name5]],'Data Options'!$R$1:$S$100,2,FALSE), " ")</f>
        <v xml:space="preserve"> </v>
      </c>
      <c r="AM45" s="32"/>
      <c r="AN45" s="32"/>
      <c r="AO45" s="53"/>
      <c r="AP45" s="54" t="str">
        <f>IFERROR(VLOOKUP(June[[#This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54" t="str">
        <f>IFERROR(VLOOKUP(June[[#This Row],[Drug Name7]],'Data Options'!$R$1:$S$100,2,FALSE), " ")</f>
        <v xml:space="preserve"> </v>
      </c>
      <c r="AZ45" s="32"/>
      <c r="BA45" s="32"/>
      <c r="BB45" s="53"/>
      <c r="BC45" s="54" t="str">
        <f>IFERROR(VLOOKUP(June[[#This Row],[Drug Name8]],'Data Options'!$R$1:$S$100,2,FALSE), " ")</f>
        <v xml:space="preserve"> </v>
      </c>
      <c r="BD45" s="32"/>
      <c r="BE45" s="32"/>
      <c r="BF45" s="53"/>
      <c r="BG45" s="54" t="str">
        <f>IFERROR(VLOOKUP(June[[#This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54" t="str">
        <f>IFERROR(VLOOKUP(June[[#This Row],[Drug Name]],'Data Options'!$R$1:$S$100,2,FALSE), " ")</f>
        <v xml:space="preserve"> </v>
      </c>
      <c r="R46" s="32"/>
      <c r="S46" s="32"/>
      <c r="T46" s="53"/>
      <c r="U46" s="54" t="str">
        <f>IFERROR(VLOOKUP(June[[#This Row],[Drug Name2]],'Data Options'!$R$1:$S$100,2,FALSE), " ")</f>
        <v xml:space="preserve"> </v>
      </c>
      <c r="V46" s="32"/>
      <c r="W46" s="32"/>
      <c r="X46" s="53"/>
      <c r="Y46" s="54" t="str">
        <f>IFERROR(VLOOKUP(June[[#This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54" t="str">
        <f>IFERROR(VLOOKUP(June[[#This Row],[Drug Name4]],'Data Options'!$R$1:$S$100,2,FALSE), " ")</f>
        <v xml:space="preserve"> </v>
      </c>
      <c r="AI46" s="32"/>
      <c r="AJ46" s="32"/>
      <c r="AK46" s="53"/>
      <c r="AL46" s="54" t="str">
        <f>IFERROR(VLOOKUP(June[[#This Row],[Drug Name5]],'Data Options'!$R$1:$S$100,2,FALSE), " ")</f>
        <v xml:space="preserve"> </v>
      </c>
      <c r="AM46" s="32"/>
      <c r="AN46" s="32"/>
      <c r="AO46" s="53"/>
      <c r="AP46" s="54" t="str">
        <f>IFERROR(VLOOKUP(June[[#This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54" t="str">
        <f>IFERROR(VLOOKUP(June[[#This Row],[Drug Name7]],'Data Options'!$R$1:$S$100,2,FALSE), " ")</f>
        <v xml:space="preserve"> </v>
      </c>
      <c r="AZ46" s="32"/>
      <c r="BA46" s="32"/>
      <c r="BB46" s="53"/>
      <c r="BC46" s="54" t="str">
        <f>IFERROR(VLOOKUP(June[[#This Row],[Drug Name8]],'Data Options'!$R$1:$S$100,2,FALSE), " ")</f>
        <v xml:space="preserve"> </v>
      </c>
      <c r="BD46" s="32"/>
      <c r="BE46" s="32"/>
      <c r="BF46" s="53"/>
      <c r="BG46" s="54" t="str">
        <f>IFERROR(VLOOKUP(June[[#This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54" t="str">
        <f>IFERROR(VLOOKUP(June[[#This Row],[Drug Name]],'Data Options'!$R$1:$S$100,2,FALSE), " ")</f>
        <v xml:space="preserve"> </v>
      </c>
      <c r="R47" s="32"/>
      <c r="S47" s="32"/>
      <c r="T47" s="53"/>
      <c r="U47" s="54" t="str">
        <f>IFERROR(VLOOKUP(June[[#This Row],[Drug Name2]],'Data Options'!$R$1:$S$100,2,FALSE), " ")</f>
        <v xml:space="preserve"> </v>
      </c>
      <c r="V47" s="32"/>
      <c r="W47" s="32"/>
      <c r="X47" s="53"/>
      <c r="Y47" s="54" t="str">
        <f>IFERROR(VLOOKUP(June[[#This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54" t="str">
        <f>IFERROR(VLOOKUP(June[[#This Row],[Drug Name4]],'Data Options'!$R$1:$S$100,2,FALSE), " ")</f>
        <v xml:space="preserve"> </v>
      </c>
      <c r="AI47" s="32"/>
      <c r="AJ47" s="32"/>
      <c r="AK47" s="53"/>
      <c r="AL47" s="54" t="str">
        <f>IFERROR(VLOOKUP(June[[#This Row],[Drug Name5]],'Data Options'!$R$1:$S$100,2,FALSE), " ")</f>
        <v xml:space="preserve"> </v>
      </c>
      <c r="AM47" s="32"/>
      <c r="AN47" s="32"/>
      <c r="AO47" s="53"/>
      <c r="AP47" s="54" t="str">
        <f>IFERROR(VLOOKUP(June[[#This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54" t="str">
        <f>IFERROR(VLOOKUP(June[[#This Row],[Drug Name7]],'Data Options'!$R$1:$S$100,2,FALSE), " ")</f>
        <v xml:space="preserve"> </v>
      </c>
      <c r="AZ47" s="32"/>
      <c r="BA47" s="32"/>
      <c r="BB47" s="53"/>
      <c r="BC47" s="54" t="str">
        <f>IFERROR(VLOOKUP(June[[#This Row],[Drug Name8]],'Data Options'!$R$1:$S$100,2,FALSE), " ")</f>
        <v xml:space="preserve"> </v>
      </c>
      <c r="BD47" s="32"/>
      <c r="BE47" s="32"/>
      <c r="BF47" s="53"/>
      <c r="BG47" s="54" t="str">
        <f>IFERROR(VLOOKUP(June[[#This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54" t="str">
        <f>IFERROR(VLOOKUP(June[[#This Row],[Drug Name]],'Data Options'!$R$1:$S$100,2,FALSE), " ")</f>
        <v xml:space="preserve"> </v>
      </c>
      <c r="R48" s="32"/>
      <c r="S48" s="32"/>
      <c r="T48" s="53"/>
      <c r="U48" s="54" t="str">
        <f>IFERROR(VLOOKUP(June[[#This Row],[Drug Name2]],'Data Options'!$R$1:$S$100,2,FALSE), " ")</f>
        <v xml:space="preserve"> </v>
      </c>
      <c r="V48" s="32"/>
      <c r="W48" s="32"/>
      <c r="X48" s="53"/>
      <c r="Y48" s="54" t="str">
        <f>IFERROR(VLOOKUP(June[[#This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54" t="str">
        <f>IFERROR(VLOOKUP(June[[#This Row],[Drug Name4]],'Data Options'!$R$1:$S$100,2,FALSE), " ")</f>
        <v xml:space="preserve"> </v>
      </c>
      <c r="AI48" s="32"/>
      <c r="AJ48" s="32"/>
      <c r="AK48" s="53"/>
      <c r="AL48" s="54" t="str">
        <f>IFERROR(VLOOKUP(June[[#This Row],[Drug Name5]],'Data Options'!$R$1:$S$100,2,FALSE), " ")</f>
        <v xml:space="preserve"> </v>
      </c>
      <c r="AM48" s="32"/>
      <c r="AN48" s="32"/>
      <c r="AO48" s="53"/>
      <c r="AP48" s="54" t="str">
        <f>IFERROR(VLOOKUP(June[[#This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54" t="str">
        <f>IFERROR(VLOOKUP(June[[#This Row],[Drug Name7]],'Data Options'!$R$1:$S$100,2,FALSE), " ")</f>
        <v xml:space="preserve"> </v>
      </c>
      <c r="AZ48" s="32"/>
      <c r="BA48" s="32"/>
      <c r="BB48" s="53"/>
      <c r="BC48" s="54" t="str">
        <f>IFERROR(VLOOKUP(June[[#This Row],[Drug Name8]],'Data Options'!$R$1:$S$100,2,FALSE), " ")</f>
        <v xml:space="preserve"> </v>
      </c>
      <c r="BD48" s="32"/>
      <c r="BE48" s="32"/>
      <c r="BF48" s="53"/>
      <c r="BG48" s="54" t="str">
        <f>IFERROR(VLOOKUP(June[[#This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54" t="str">
        <f>IFERROR(VLOOKUP(June[[#This Row],[Drug Name]],'Data Options'!$R$1:$S$100,2,FALSE), " ")</f>
        <v xml:space="preserve"> </v>
      </c>
      <c r="R49" s="32"/>
      <c r="S49" s="32"/>
      <c r="T49" s="53"/>
      <c r="U49" s="54" t="str">
        <f>IFERROR(VLOOKUP(June[[#This Row],[Drug Name2]],'Data Options'!$R$1:$S$100,2,FALSE), " ")</f>
        <v xml:space="preserve"> </v>
      </c>
      <c r="V49" s="32"/>
      <c r="W49" s="32"/>
      <c r="X49" s="53"/>
      <c r="Y49" s="54" t="str">
        <f>IFERROR(VLOOKUP(June[[#This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54" t="str">
        <f>IFERROR(VLOOKUP(June[[#This Row],[Drug Name4]],'Data Options'!$R$1:$S$100,2,FALSE), " ")</f>
        <v xml:space="preserve"> </v>
      </c>
      <c r="AI49" s="32"/>
      <c r="AJ49" s="32"/>
      <c r="AK49" s="53"/>
      <c r="AL49" s="54" t="str">
        <f>IFERROR(VLOOKUP(June[[#This Row],[Drug Name5]],'Data Options'!$R$1:$S$100,2,FALSE), " ")</f>
        <v xml:space="preserve"> </v>
      </c>
      <c r="AM49" s="32"/>
      <c r="AN49" s="32"/>
      <c r="AO49" s="53"/>
      <c r="AP49" s="54" t="str">
        <f>IFERROR(VLOOKUP(June[[#This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54" t="str">
        <f>IFERROR(VLOOKUP(June[[#This Row],[Drug Name7]],'Data Options'!$R$1:$S$100,2,FALSE), " ")</f>
        <v xml:space="preserve"> </v>
      </c>
      <c r="AZ49" s="32"/>
      <c r="BA49" s="32"/>
      <c r="BB49" s="53"/>
      <c r="BC49" s="54" t="str">
        <f>IFERROR(VLOOKUP(June[[#This Row],[Drug Name8]],'Data Options'!$R$1:$S$100,2,FALSE), " ")</f>
        <v xml:space="preserve"> </v>
      </c>
      <c r="BD49" s="32"/>
      <c r="BE49" s="32"/>
      <c r="BF49" s="53"/>
      <c r="BG49" s="54" t="str">
        <f>IFERROR(VLOOKUP(June[[#This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54" t="str">
        <f>IFERROR(VLOOKUP(June[[#This Row],[Drug Name]],'Data Options'!$R$1:$S$100,2,FALSE), " ")</f>
        <v xml:space="preserve"> </v>
      </c>
      <c r="R50" s="32"/>
      <c r="S50" s="32"/>
      <c r="T50" s="53"/>
      <c r="U50" s="54" t="str">
        <f>IFERROR(VLOOKUP(June[[#This Row],[Drug Name2]],'Data Options'!$R$1:$S$100,2,FALSE), " ")</f>
        <v xml:space="preserve"> </v>
      </c>
      <c r="V50" s="32"/>
      <c r="W50" s="32"/>
      <c r="X50" s="53"/>
      <c r="Y50" s="54" t="str">
        <f>IFERROR(VLOOKUP(June[[#This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54" t="str">
        <f>IFERROR(VLOOKUP(June[[#This Row],[Drug Name4]],'Data Options'!$R$1:$S$100,2,FALSE), " ")</f>
        <v xml:space="preserve"> </v>
      </c>
      <c r="AI50" s="32"/>
      <c r="AJ50" s="32"/>
      <c r="AK50" s="53"/>
      <c r="AL50" s="54" t="str">
        <f>IFERROR(VLOOKUP(June[[#This Row],[Drug Name5]],'Data Options'!$R$1:$S$100,2,FALSE), " ")</f>
        <v xml:space="preserve"> </v>
      </c>
      <c r="AM50" s="32"/>
      <c r="AN50" s="32"/>
      <c r="AO50" s="53"/>
      <c r="AP50" s="54" t="str">
        <f>IFERROR(VLOOKUP(June[[#This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54" t="str">
        <f>IFERROR(VLOOKUP(June[[#This Row],[Drug Name7]],'Data Options'!$R$1:$S$100,2,FALSE), " ")</f>
        <v xml:space="preserve"> </v>
      </c>
      <c r="AZ50" s="32"/>
      <c r="BA50" s="32"/>
      <c r="BB50" s="53"/>
      <c r="BC50" s="54" t="str">
        <f>IFERROR(VLOOKUP(June[[#This Row],[Drug Name8]],'Data Options'!$R$1:$S$100,2,FALSE), " ")</f>
        <v xml:space="preserve"> </v>
      </c>
      <c r="BD50" s="32"/>
      <c r="BE50" s="32"/>
      <c r="BF50" s="53"/>
      <c r="BG50" s="54" t="str">
        <f>IFERROR(VLOOKUP(June[[#This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54" t="str">
        <f>IFERROR(VLOOKUP(June[[#This Row],[Drug Name]],'Data Options'!$R$1:$S$100,2,FALSE), " ")</f>
        <v xml:space="preserve"> </v>
      </c>
      <c r="R51" s="32"/>
      <c r="S51" s="32"/>
      <c r="T51" s="53"/>
      <c r="U51" s="54" t="str">
        <f>IFERROR(VLOOKUP(June[[#This Row],[Drug Name2]],'Data Options'!$R$1:$S$100,2,FALSE), " ")</f>
        <v xml:space="preserve"> </v>
      </c>
      <c r="V51" s="32"/>
      <c r="W51" s="32"/>
      <c r="X51" s="53"/>
      <c r="Y51" s="54" t="str">
        <f>IFERROR(VLOOKUP(June[[#This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54" t="str">
        <f>IFERROR(VLOOKUP(June[[#This Row],[Drug Name4]],'Data Options'!$R$1:$S$100,2,FALSE), " ")</f>
        <v xml:space="preserve"> </v>
      </c>
      <c r="AI51" s="32"/>
      <c r="AJ51" s="32"/>
      <c r="AK51" s="53"/>
      <c r="AL51" s="54" t="str">
        <f>IFERROR(VLOOKUP(June[[#This Row],[Drug Name5]],'Data Options'!$R$1:$S$100,2,FALSE), " ")</f>
        <v xml:space="preserve"> </v>
      </c>
      <c r="AM51" s="32"/>
      <c r="AN51" s="32"/>
      <c r="AO51" s="53"/>
      <c r="AP51" s="54" t="str">
        <f>IFERROR(VLOOKUP(June[[#This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54" t="str">
        <f>IFERROR(VLOOKUP(June[[#This Row],[Drug Name7]],'Data Options'!$R$1:$S$100,2,FALSE), " ")</f>
        <v xml:space="preserve"> </v>
      </c>
      <c r="AZ51" s="32"/>
      <c r="BA51" s="32"/>
      <c r="BB51" s="53"/>
      <c r="BC51" s="54" t="str">
        <f>IFERROR(VLOOKUP(June[[#This Row],[Drug Name8]],'Data Options'!$R$1:$S$100,2,FALSE), " ")</f>
        <v xml:space="preserve"> </v>
      </c>
      <c r="BD51" s="32"/>
      <c r="BE51" s="32"/>
      <c r="BF51" s="53"/>
      <c r="BG51" s="54" t="str">
        <f>IFERROR(VLOOKUP(June[[#This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54" t="str">
        <f>IFERROR(VLOOKUP(June[[#This Row],[Drug Name]],'Data Options'!$R$1:$S$100,2,FALSE), " ")</f>
        <v xml:space="preserve"> </v>
      </c>
      <c r="R52" s="32"/>
      <c r="S52" s="32"/>
      <c r="T52" s="53"/>
      <c r="U52" s="54" t="str">
        <f>IFERROR(VLOOKUP(June[[#This Row],[Drug Name2]],'Data Options'!$R$1:$S$100,2,FALSE), " ")</f>
        <v xml:space="preserve"> </v>
      </c>
      <c r="V52" s="32"/>
      <c r="W52" s="32"/>
      <c r="X52" s="53"/>
      <c r="Y52" s="54" t="str">
        <f>IFERROR(VLOOKUP(June[[#This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54" t="str">
        <f>IFERROR(VLOOKUP(June[[#This Row],[Drug Name4]],'Data Options'!$R$1:$S$100,2,FALSE), " ")</f>
        <v xml:space="preserve"> </v>
      </c>
      <c r="AI52" s="32"/>
      <c r="AJ52" s="32"/>
      <c r="AK52" s="53"/>
      <c r="AL52" s="54" t="str">
        <f>IFERROR(VLOOKUP(June[[#This Row],[Drug Name5]],'Data Options'!$R$1:$S$100,2,FALSE), " ")</f>
        <v xml:space="preserve"> </v>
      </c>
      <c r="AM52" s="32"/>
      <c r="AN52" s="32"/>
      <c r="AO52" s="53"/>
      <c r="AP52" s="54" t="str">
        <f>IFERROR(VLOOKUP(June[[#This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54" t="str">
        <f>IFERROR(VLOOKUP(June[[#This Row],[Drug Name7]],'Data Options'!$R$1:$S$100,2,FALSE), " ")</f>
        <v xml:space="preserve"> </v>
      </c>
      <c r="AZ52" s="32"/>
      <c r="BA52" s="32"/>
      <c r="BB52" s="53"/>
      <c r="BC52" s="54" t="str">
        <f>IFERROR(VLOOKUP(June[[#This Row],[Drug Name8]],'Data Options'!$R$1:$S$100,2,FALSE), " ")</f>
        <v xml:space="preserve"> </v>
      </c>
      <c r="BD52" s="32"/>
      <c r="BE52" s="32"/>
      <c r="BF52" s="53"/>
      <c r="BG52" s="54" t="str">
        <f>IFERROR(VLOOKUP(June[[#This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54" t="str">
        <f>IFERROR(VLOOKUP(June[[#This Row],[Drug Name]],'Data Options'!$R$1:$S$100,2,FALSE), " ")</f>
        <v xml:space="preserve"> </v>
      </c>
      <c r="R53" s="32"/>
      <c r="S53" s="32"/>
      <c r="T53" s="53"/>
      <c r="U53" s="54" t="str">
        <f>IFERROR(VLOOKUP(June[[#This Row],[Drug Name2]],'Data Options'!$R$1:$S$100,2,FALSE), " ")</f>
        <v xml:space="preserve"> </v>
      </c>
      <c r="V53" s="32"/>
      <c r="W53" s="32"/>
      <c r="X53" s="53"/>
      <c r="Y53" s="54" t="str">
        <f>IFERROR(VLOOKUP(June[[#This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54" t="str">
        <f>IFERROR(VLOOKUP(June[[#This Row],[Drug Name4]],'Data Options'!$R$1:$S$100,2,FALSE), " ")</f>
        <v xml:space="preserve"> </v>
      </c>
      <c r="AI53" s="32"/>
      <c r="AJ53" s="32"/>
      <c r="AK53" s="53"/>
      <c r="AL53" s="54" t="str">
        <f>IFERROR(VLOOKUP(June[[#This Row],[Drug Name5]],'Data Options'!$R$1:$S$100,2,FALSE), " ")</f>
        <v xml:space="preserve"> </v>
      </c>
      <c r="AM53" s="32"/>
      <c r="AN53" s="32"/>
      <c r="AO53" s="53"/>
      <c r="AP53" s="54" t="str">
        <f>IFERROR(VLOOKUP(June[[#This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54" t="str">
        <f>IFERROR(VLOOKUP(June[[#This Row],[Drug Name7]],'Data Options'!$R$1:$S$100,2,FALSE), " ")</f>
        <v xml:space="preserve"> </v>
      </c>
      <c r="AZ53" s="32"/>
      <c r="BA53" s="32"/>
      <c r="BB53" s="53"/>
      <c r="BC53" s="54" t="str">
        <f>IFERROR(VLOOKUP(June[[#This Row],[Drug Name8]],'Data Options'!$R$1:$S$100,2,FALSE), " ")</f>
        <v xml:space="preserve"> </v>
      </c>
      <c r="BD53" s="32"/>
      <c r="BE53" s="32"/>
      <c r="BF53" s="53"/>
      <c r="BG53" s="54" t="str">
        <f>IFERROR(VLOOKUP(June[[#This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54" t="str">
        <f>IFERROR(VLOOKUP(June[[#This Row],[Drug Name]],'Data Options'!$R$1:$S$100,2,FALSE), " ")</f>
        <v xml:space="preserve"> </v>
      </c>
      <c r="R54" s="32"/>
      <c r="S54" s="32"/>
      <c r="T54" s="53"/>
      <c r="U54" s="54" t="str">
        <f>IFERROR(VLOOKUP(June[[#This Row],[Drug Name2]],'Data Options'!$R$1:$S$100,2,FALSE), " ")</f>
        <v xml:space="preserve"> </v>
      </c>
      <c r="V54" s="32"/>
      <c r="W54" s="32"/>
      <c r="X54" s="53"/>
      <c r="Y54" s="54" t="str">
        <f>IFERROR(VLOOKUP(June[[#This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54" t="str">
        <f>IFERROR(VLOOKUP(June[[#This Row],[Drug Name4]],'Data Options'!$R$1:$S$100,2,FALSE), " ")</f>
        <v xml:space="preserve"> </v>
      </c>
      <c r="AI54" s="32"/>
      <c r="AJ54" s="32"/>
      <c r="AK54" s="53"/>
      <c r="AL54" s="54" t="str">
        <f>IFERROR(VLOOKUP(June[[#This Row],[Drug Name5]],'Data Options'!$R$1:$S$100,2,FALSE), " ")</f>
        <v xml:space="preserve"> </v>
      </c>
      <c r="AM54" s="32"/>
      <c r="AN54" s="32"/>
      <c r="AO54" s="53"/>
      <c r="AP54" s="54" t="str">
        <f>IFERROR(VLOOKUP(June[[#This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54" t="str">
        <f>IFERROR(VLOOKUP(June[[#This Row],[Drug Name7]],'Data Options'!$R$1:$S$100,2,FALSE), " ")</f>
        <v xml:space="preserve"> </v>
      </c>
      <c r="AZ54" s="32"/>
      <c r="BA54" s="32"/>
      <c r="BB54" s="53"/>
      <c r="BC54" s="54" t="str">
        <f>IFERROR(VLOOKUP(June[[#This Row],[Drug Name8]],'Data Options'!$R$1:$S$100,2,FALSE), " ")</f>
        <v xml:space="preserve"> </v>
      </c>
      <c r="BD54" s="32"/>
      <c r="BE54" s="32"/>
      <c r="BF54" s="53"/>
      <c r="BG54" s="54" t="str">
        <f>IFERROR(VLOOKUP(June[[#This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54" t="str">
        <f>IFERROR(VLOOKUP(June[[#This Row],[Drug Name]],'Data Options'!$R$1:$S$100,2,FALSE), " ")</f>
        <v xml:space="preserve"> </v>
      </c>
      <c r="R55" s="32"/>
      <c r="S55" s="32"/>
      <c r="T55" s="53"/>
      <c r="U55" s="54" t="str">
        <f>IFERROR(VLOOKUP(June[[#This Row],[Drug Name2]],'Data Options'!$R$1:$S$100,2,FALSE), " ")</f>
        <v xml:space="preserve"> </v>
      </c>
      <c r="V55" s="32"/>
      <c r="W55" s="32"/>
      <c r="X55" s="53"/>
      <c r="Y55" s="54" t="str">
        <f>IFERROR(VLOOKUP(June[[#This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54" t="str">
        <f>IFERROR(VLOOKUP(June[[#This Row],[Drug Name4]],'Data Options'!$R$1:$S$100,2,FALSE), " ")</f>
        <v xml:space="preserve"> </v>
      </c>
      <c r="AI55" s="32"/>
      <c r="AJ55" s="32"/>
      <c r="AK55" s="53"/>
      <c r="AL55" s="54" t="str">
        <f>IFERROR(VLOOKUP(June[[#This Row],[Drug Name5]],'Data Options'!$R$1:$S$100,2,FALSE), " ")</f>
        <v xml:space="preserve"> </v>
      </c>
      <c r="AM55" s="32"/>
      <c r="AN55" s="32"/>
      <c r="AO55" s="53"/>
      <c r="AP55" s="54" t="str">
        <f>IFERROR(VLOOKUP(June[[#This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54" t="str">
        <f>IFERROR(VLOOKUP(June[[#This Row],[Drug Name7]],'Data Options'!$R$1:$S$100,2,FALSE), " ")</f>
        <v xml:space="preserve"> </v>
      </c>
      <c r="AZ55" s="32"/>
      <c r="BA55" s="32"/>
      <c r="BB55" s="53"/>
      <c r="BC55" s="54" t="str">
        <f>IFERROR(VLOOKUP(June[[#This Row],[Drug Name8]],'Data Options'!$R$1:$S$100,2,FALSE), " ")</f>
        <v xml:space="preserve"> </v>
      </c>
      <c r="BD55" s="32"/>
      <c r="BE55" s="32"/>
      <c r="BF55" s="53"/>
      <c r="BG55" s="54" t="str">
        <f>IFERROR(VLOOKUP(June[[#This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54" t="str">
        <f>IFERROR(VLOOKUP(June[[#This Row],[Drug Name]],'Data Options'!$R$1:$S$100,2,FALSE), " ")</f>
        <v xml:space="preserve"> </v>
      </c>
      <c r="R56" s="32"/>
      <c r="S56" s="32"/>
      <c r="T56" s="53"/>
      <c r="U56" s="54" t="str">
        <f>IFERROR(VLOOKUP(June[[#This Row],[Drug Name2]],'Data Options'!$R$1:$S$100,2,FALSE), " ")</f>
        <v xml:space="preserve"> </v>
      </c>
      <c r="V56" s="32"/>
      <c r="W56" s="32"/>
      <c r="X56" s="53"/>
      <c r="Y56" s="54" t="str">
        <f>IFERROR(VLOOKUP(June[[#This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54" t="str">
        <f>IFERROR(VLOOKUP(June[[#This Row],[Drug Name4]],'Data Options'!$R$1:$S$100,2,FALSE), " ")</f>
        <v xml:space="preserve"> </v>
      </c>
      <c r="AI56" s="32"/>
      <c r="AJ56" s="32"/>
      <c r="AK56" s="53"/>
      <c r="AL56" s="54" t="str">
        <f>IFERROR(VLOOKUP(June[[#This Row],[Drug Name5]],'Data Options'!$R$1:$S$100,2,FALSE), " ")</f>
        <v xml:space="preserve"> </v>
      </c>
      <c r="AM56" s="32"/>
      <c r="AN56" s="32"/>
      <c r="AO56" s="53"/>
      <c r="AP56" s="54" t="str">
        <f>IFERROR(VLOOKUP(June[[#This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54" t="str">
        <f>IFERROR(VLOOKUP(June[[#This Row],[Drug Name7]],'Data Options'!$R$1:$S$100,2,FALSE), " ")</f>
        <v xml:space="preserve"> </v>
      </c>
      <c r="AZ56" s="32"/>
      <c r="BA56" s="32"/>
      <c r="BB56" s="53"/>
      <c r="BC56" s="54" t="str">
        <f>IFERROR(VLOOKUP(June[[#This Row],[Drug Name8]],'Data Options'!$R$1:$S$100,2,FALSE), " ")</f>
        <v xml:space="preserve"> </v>
      </c>
      <c r="BD56" s="32"/>
      <c r="BE56" s="32"/>
      <c r="BF56" s="53"/>
      <c r="BG56" s="54" t="str">
        <f>IFERROR(VLOOKUP(June[[#This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54" t="str">
        <f>IFERROR(VLOOKUP(June[[#This Row],[Drug Name]],'Data Options'!$R$1:$S$100,2,FALSE), " ")</f>
        <v xml:space="preserve"> </v>
      </c>
      <c r="R57" s="32"/>
      <c r="S57" s="32"/>
      <c r="T57" s="53"/>
      <c r="U57" s="54" t="str">
        <f>IFERROR(VLOOKUP(June[[#This Row],[Drug Name2]],'Data Options'!$R$1:$S$100,2,FALSE), " ")</f>
        <v xml:space="preserve"> </v>
      </c>
      <c r="V57" s="32"/>
      <c r="W57" s="32"/>
      <c r="X57" s="53"/>
      <c r="Y57" s="54" t="str">
        <f>IFERROR(VLOOKUP(June[[#This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54" t="str">
        <f>IFERROR(VLOOKUP(June[[#This Row],[Drug Name4]],'Data Options'!$R$1:$S$100,2,FALSE), " ")</f>
        <v xml:space="preserve"> </v>
      </c>
      <c r="AI57" s="32"/>
      <c r="AJ57" s="32"/>
      <c r="AK57" s="53"/>
      <c r="AL57" s="54" t="str">
        <f>IFERROR(VLOOKUP(June[[#This Row],[Drug Name5]],'Data Options'!$R$1:$S$100,2,FALSE), " ")</f>
        <v xml:space="preserve"> </v>
      </c>
      <c r="AM57" s="32"/>
      <c r="AN57" s="32"/>
      <c r="AO57" s="53"/>
      <c r="AP57" s="54" t="str">
        <f>IFERROR(VLOOKUP(June[[#This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54" t="str">
        <f>IFERROR(VLOOKUP(June[[#This Row],[Drug Name7]],'Data Options'!$R$1:$S$100,2,FALSE), " ")</f>
        <v xml:space="preserve"> </v>
      </c>
      <c r="AZ57" s="32"/>
      <c r="BA57" s="32"/>
      <c r="BB57" s="53"/>
      <c r="BC57" s="54" t="str">
        <f>IFERROR(VLOOKUP(June[[#This Row],[Drug Name8]],'Data Options'!$R$1:$S$100,2,FALSE), " ")</f>
        <v xml:space="preserve"> </v>
      </c>
      <c r="BD57" s="32"/>
      <c r="BE57" s="32"/>
      <c r="BF57" s="53"/>
      <c r="BG57" s="54" t="str">
        <f>IFERROR(VLOOKUP(June[[#This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54" t="str">
        <f>IFERROR(VLOOKUP(June[[#This Row],[Drug Name]],'Data Options'!$R$1:$S$100,2,FALSE), " ")</f>
        <v xml:space="preserve"> </v>
      </c>
      <c r="R58" s="32"/>
      <c r="S58" s="32"/>
      <c r="T58" s="53"/>
      <c r="U58" s="54" t="str">
        <f>IFERROR(VLOOKUP(June[[#This Row],[Drug Name2]],'Data Options'!$R$1:$S$100,2,FALSE), " ")</f>
        <v xml:space="preserve"> </v>
      </c>
      <c r="V58" s="32"/>
      <c r="W58" s="32"/>
      <c r="X58" s="53"/>
      <c r="Y58" s="54" t="str">
        <f>IFERROR(VLOOKUP(June[[#This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54" t="str">
        <f>IFERROR(VLOOKUP(June[[#This Row],[Drug Name4]],'Data Options'!$R$1:$S$100,2,FALSE), " ")</f>
        <v xml:space="preserve"> </v>
      </c>
      <c r="AI58" s="32"/>
      <c r="AJ58" s="32"/>
      <c r="AK58" s="53"/>
      <c r="AL58" s="54" t="str">
        <f>IFERROR(VLOOKUP(June[[#This Row],[Drug Name5]],'Data Options'!$R$1:$S$100,2,FALSE), " ")</f>
        <v xml:space="preserve"> </v>
      </c>
      <c r="AM58" s="32"/>
      <c r="AN58" s="32"/>
      <c r="AO58" s="53"/>
      <c r="AP58" s="54" t="str">
        <f>IFERROR(VLOOKUP(June[[#This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54" t="str">
        <f>IFERROR(VLOOKUP(June[[#This Row],[Drug Name7]],'Data Options'!$R$1:$S$100,2,FALSE), " ")</f>
        <v xml:space="preserve"> </v>
      </c>
      <c r="AZ58" s="32"/>
      <c r="BA58" s="32"/>
      <c r="BB58" s="53"/>
      <c r="BC58" s="54" t="str">
        <f>IFERROR(VLOOKUP(June[[#This Row],[Drug Name8]],'Data Options'!$R$1:$S$100,2,FALSE), " ")</f>
        <v xml:space="preserve"> </v>
      </c>
      <c r="BD58" s="32"/>
      <c r="BE58" s="32"/>
      <c r="BF58" s="53"/>
      <c r="BG58" s="54" t="str">
        <f>IFERROR(VLOOKUP(June[[#This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54" t="str">
        <f>IFERROR(VLOOKUP(June[[#This Row],[Drug Name]],'Data Options'!$R$1:$S$100,2,FALSE), " ")</f>
        <v xml:space="preserve"> </v>
      </c>
      <c r="R59" s="32"/>
      <c r="S59" s="32"/>
      <c r="T59" s="53"/>
      <c r="U59" s="54" t="str">
        <f>IFERROR(VLOOKUP(June[[#This Row],[Drug Name2]],'Data Options'!$R$1:$S$100,2,FALSE), " ")</f>
        <v xml:space="preserve"> </v>
      </c>
      <c r="V59" s="32"/>
      <c r="W59" s="32"/>
      <c r="X59" s="53"/>
      <c r="Y59" s="54" t="str">
        <f>IFERROR(VLOOKUP(June[[#This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54" t="str">
        <f>IFERROR(VLOOKUP(June[[#This Row],[Drug Name4]],'Data Options'!$R$1:$S$100,2,FALSE), " ")</f>
        <v xml:space="preserve"> </v>
      </c>
      <c r="AI59" s="32"/>
      <c r="AJ59" s="32"/>
      <c r="AK59" s="53"/>
      <c r="AL59" s="54" t="str">
        <f>IFERROR(VLOOKUP(June[[#This Row],[Drug Name5]],'Data Options'!$R$1:$S$100,2,FALSE), " ")</f>
        <v xml:space="preserve"> </v>
      </c>
      <c r="AM59" s="32"/>
      <c r="AN59" s="32"/>
      <c r="AO59" s="53"/>
      <c r="AP59" s="54" t="str">
        <f>IFERROR(VLOOKUP(June[[#This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54" t="str">
        <f>IFERROR(VLOOKUP(June[[#This Row],[Drug Name7]],'Data Options'!$R$1:$S$100,2,FALSE), " ")</f>
        <v xml:space="preserve"> </v>
      </c>
      <c r="AZ59" s="32"/>
      <c r="BA59" s="32"/>
      <c r="BB59" s="53"/>
      <c r="BC59" s="54" t="str">
        <f>IFERROR(VLOOKUP(June[[#This Row],[Drug Name8]],'Data Options'!$R$1:$S$100,2,FALSE), " ")</f>
        <v xml:space="preserve"> </v>
      </c>
      <c r="BD59" s="32"/>
      <c r="BE59" s="32"/>
      <c r="BF59" s="53"/>
      <c r="BG59" s="54" t="str">
        <f>IFERROR(VLOOKUP(June[[#This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54" t="str">
        <f>IFERROR(VLOOKUP(June[[#This Row],[Drug Name]],'Data Options'!$R$1:$S$100,2,FALSE), " ")</f>
        <v xml:space="preserve"> </v>
      </c>
      <c r="R60" s="32"/>
      <c r="S60" s="32"/>
      <c r="T60" s="53"/>
      <c r="U60" s="54" t="str">
        <f>IFERROR(VLOOKUP(June[[#This Row],[Drug Name2]],'Data Options'!$R$1:$S$100,2,FALSE), " ")</f>
        <v xml:space="preserve"> </v>
      </c>
      <c r="V60" s="32"/>
      <c r="W60" s="32"/>
      <c r="X60" s="53"/>
      <c r="Y60" s="54" t="str">
        <f>IFERROR(VLOOKUP(June[[#This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54" t="str">
        <f>IFERROR(VLOOKUP(June[[#This Row],[Drug Name4]],'Data Options'!$R$1:$S$100,2,FALSE), " ")</f>
        <v xml:space="preserve"> </v>
      </c>
      <c r="AI60" s="32"/>
      <c r="AJ60" s="32"/>
      <c r="AK60" s="53"/>
      <c r="AL60" s="54" t="str">
        <f>IFERROR(VLOOKUP(June[[#This Row],[Drug Name5]],'Data Options'!$R$1:$S$100,2,FALSE), " ")</f>
        <v xml:space="preserve"> </v>
      </c>
      <c r="AM60" s="32"/>
      <c r="AN60" s="32"/>
      <c r="AO60" s="53"/>
      <c r="AP60" s="54" t="str">
        <f>IFERROR(VLOOKUP(June[[#This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54" t="str">
        <f>IFERROR(VLOOKUP(June[[#This Row],[Drug Name7]],'Data Options'!$R$1:$S$100,2,FALSE), " ")</f>
        <v xml:space="preserve"> </v>
      </c>
      <c r="AZ60" s="32"/>
      <c r="BA60" s="32"/>
      <c r="BB60" s="53"/>
      <c r="BC60" s="54" t="str">
        <f>IFERROR(VLOOKUP(June[[#This Row],[Drug Name8]],'Data Options'!$R$1:$S$100,2,FALSE), " ")</f>
        <v xml:space="preserve"> </v>
      </c>
      <c r="BD60" s="32"/>
      <c r="BE60" s="32"/>
      <c r="BF60" s="53"/>
      <c r="BG60" s="54" t="str">
        <f>IFERROR(VLOOKUP(June[[#This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54" t="str">
        <f>IFERROR(VLOOKUP(June[[#This Row],[Drug Name]],'Data Options'!$R$1:$S$100,2,FALSE), " ")</f>
        <v xml:space="preserve"> </v>
      </c>
      <c r="R61" s="32"/>
      <c r="S61" s="32"/>
      <c r="T61" s="53"/>
      <c r="U61" s="54" t="str">
        <f>IFERROR(VLOOKUP(June[[#This Row],[Drug Name2]],'Data Options'!$R$1:$S$100,2,FALSE), " ")</f>
        <v xml:space="preserve"> </v>
      </c>
      <c r="V61" s="32"/>
      <c r="W61" s="32"/>
      <c r="X61" s="53"/>
      <c r="Y61" s="54" t="str">
        <f>IFERROR(VLOOKUP(June[[#This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54" t="str">
        <f>IFERROR(VLOOKUP(June[[#This Row],[Drug Name4]],'Data Options'!$R$1:$S$100,2,FALSE), " ")</f>
        <v xml:space="preserve"> </v>
      </c>
      <c r="AI61" s="32"/>
      <c r="AJ61" s="32"/>
      <c r="AK61" s="53"/>
      <c r="AL61" s="54" t="str">
        <f>IFERROR(VLOOKUP(June[[#This Row],[Drug Name5]],'Data Options'!$R$1:$S$100,2,FALSE), " ")</f>
        <v xml:space="preserve"> </v>
      </c>
      <c r="AM61" s="32"/>
      <c r="AN61" s="32"/>
      <c r="AO61" s="53"/>
      <c r="AP61" s="54" t="str">
        <f>IFERROR(VLOOKUP(June[[#This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54" t="str">
        <f>IFERROR(VLOOKUP(June[[#This Row],[Drug Name7]],'Data Options'!$R$1:$S$100,2,FALSE), " ")</f>
        <v xml:space="preserve"> </v>
      </c>
      <c r="AZ61" s="32"/>
      <c r="BA61" s="32"/>
      <c r="BB61" s="53"/>
      <c r="BC61" s="54" t="str">
        <f>IFERROR(VLOOKUP(June[[#This Row],[Drug Name8]],'Data Options'!$R$1:$S$100,2,FALSE), " ")</f>
        <v xml:space="preserve"> </v>
      </c>
      <c r="BD61" s="32"/>
      <c r="BE61" s="32"/>
      <c r="BF61" s="53"/>
      <c r="BG61" s="54" t="str">
        <f>IFERROR(VLOOKUP(June[[#This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54" t="str">
        <f>IFERROR(VLOOKUP(June[[#This Row],[Drug Name]],'Data Options'!$R$1:$S$100,2,FALSE), " ")</f>
        <v xml:space="preserve"> </v>
      </c>
      <c r="R62" s="32"/>
      <c r="S62" s="32"/>
      <c r="T62" s="53"/>
      <c r="U62" s="54" t="str">
        <f>IFERROR(VLOOKUP(June[[#This Row],[Drug Name2]],'Data Options'!$R$1:$S$100,2,FALSE), " ")</f>
        <v xml:space="preserve"> </v>
      </c>
      <c r="V62" s="32"/>
      <c r="W62" s="32"/>
      <c r="X62" s="53"/>
      <c r="Y62" s="54" t="str">
        <f>IFERROR(VLOOKUP(June[[#This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54" t="str">
        <f>IFERROR(VLOOKUP(June[[#This Row],[Drug Name4]],'Data Options'!$R$1:$S$100,2,FALSE), " ")</f>
        <v xml:space="preserve"> </v>
      </c>
      <c r="AI62" s="32"/>
      <c r="AJ62" s="32"/>
      <c r="AK62" s="53"/>
      <c r="AL62" s="54" t="str">
        <f>IFERROR(VLOOKUP(June[[#This Row],[Drug Name5]],'Data Options'!$R$1:$S$100,2,FALSE), " ")</f>
        <v xml:space="preserve"> </v>
      </c>
      <c r="AM62" s="32"/>
      <c r="AN62" s="32"/>
      <c r="AO62" s="53"/>
      <c r="AP62" s="54" t="str">
        <f>IFERROR(VLOOKUP(June[[#This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54" t="str">
        <f>IFERROR(VLOOKUP(June[[#This Row],[Drug Name7]],'Data Options'!$R$1:$S$100,2,FALSE), " ")</f>
        <v xml:space="preserve"> </v>
      </c>
      <c r="AZ62" s="32"/>
      <c r="BA62" s="32"/>
      <c r="BB62" s="53"/>
      <c r="BC62" s="54" t="str">
        <f>IFERROR(VLOOKUP(June[[#This Row],[Drug Name8]],'Data Options'!$R$1:$S$100,2,FALSE), " ")</f>
        <v xml:space="preserve"> </v>
      </c>
      <c r="BD62" s="32"/>
      <c r="BE62" s="32"/>
      <c r="BF62" s="53"/>
      <c r="BG62" s="54" t="str">
        <f>IFERROR(VLOOKUP(June[[#This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54" t="str">
        <f>IFERROR(VLOOKUP(June[[#This Row],[Drug Name]],'Data Options'!$R$1:$S$100,2,FALSE), " ")</f>
        <v xml:space="preserve"> </v>
      </c>
      <c r="R63" s="32"/>
      <c r="S63" s="32"/>
      <c r="T63" s="53"/>
      <c r="U63" s="54" t="str">
        <f>IFERROR(VLOOKUP(June[[#This Row],[Drug Name2]],'Data Options'!$R$1:$S$100,2,FALSE), " ")</f>
        <v xml:space="preserve"> </v>
      </c>
      <c r="V63" s="32"/>
      <c r="W63" s="32"/>
      <c r="X63" s="53"/>
      <c r="Y63" s="54" t="str">
        <f>IFERROR(VLOOKUP(June[[#This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54" t="str">
        <f>IFERROR(VLOOKUP(June[[#This Row],[Drug Name4]],'Data Options'!$R$1:$S$100,2,FALSE), " ")</f>
        <v xml:space="preserve"> </v>
      </c>
      <c r="AI63" s="32"/>
      <c r="AJ63" s="32"/>
      <c r="AK63" s="53"/>
      <c r="AL63" s="54" t="str">
        <f>IFERROR(VLOOKUP(June[[#This Row],[Drug Name5]],'Data Options'!$R$1:$S$100,2,FALSE), " ")</f>
        <v xml:space="preserve"> </v>
      </c>
      <c r="AM63" s="32"/>
      <c r="AN63" s="32"/>
      <c r="AO63" s="53"/>
      <c r="AP63" s="54" t="str">
        <f>IFERROR(VLOOKUP(June[[#This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54" t="str">
        <f>IFERROR(VLOOKUP(June[[#This Row],[Drug Name7]],'Data Options'!$R$1:$S$100,2,FALSE), " ")</f>
        <v xml:space="preserve"> </v>
      </c>
      <c r="AZ63" s="32"/>
      <c r="BA63" s="32"/>
      <c r="BB63" s="53"/>
      <c r="BC63" s="54" t="str">
        <f>IFERROR(VLOOKUP(June[[#This Row],[Drug Name8]],'Data Options'!$R$1:$S$100,2,FALSE), " ")</f>
        <v xml:space="preserve"> </v>
      </c>
      <c r="BD63" s="32"/>
      <c r="BE63" s="32"/>
      <c r="BF63" s="53"/>
      <c r="BG63" s="54" t="str">
        <f>IFERROR(VLOOKUP(June[[#This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54" t="str">
        <f>IFERROR(VLOOKUP(June[[#This Row],[Drug Name]],'Data Options'!$R$1:$S$100,2,FALSE), " ")</f>
        <v xml:space="preserve"> </v>
      </c>
      <c r="R64" s="32"/>
      <c r="S64" s="32"/>
      <c r="T64" s="53"/>
      <c r="U64" s="54" t="str">
        <f>IFERROR(VLOOKUP(June[[#This Row],[Drug Name2]],'Data Options'!$R$1:$S$100,2,FALSE), " ")</f>
        <v xml:space="preserve"> </v>
      </c>
      <c r="V64" s="32"/>
      <c r="W64" s="32"/>
      <c r="X64" s="53"/>
      <c r="Y64" s="54" t="str">
        <f>IFERROR(VLOOKUP(June[[#This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54" t="str">
        <f>IFERROR(VLOOKUP(June[[#This Row],[Drug Name4]],'Data Options'!$R$1:$S$100,2,FALSE), " ")</f>
        <v xml:space="preserve"> </v>
      </c>
      <c r="AI64" s="32"/>
      <c r="AJ64" s="32"/>
      <c r="AK64" s="53"/>
      <c r="AL64" s="54" t="str">
        <f>IFERROR(VLOOKUP(June[[#This Row],[Drug Name5]],'Data Options'!$R$1:$S$100,2,FALSE), " ")</f>
        <v xml:space="preserve"> </v>
      </c>
      <c r="AM64" s="32"/>
      <c r="AN64" s="32"/>
      <c r="AO64" s="53"/>
      <c r="AP64" s="54" t="str">
        <f>IFERROR(VLOOKUP(June[[#This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54" t="str">
        <f>IFERROR(VLOOKUP(June[[#This Row],[Drug Name7]],'Data Options'!$R$1:$S$100,2,FALSE), " ")</f>
        <v xml:space="preserve"> </v>
      </c>
      <c r="AZ64" s="32"/>
      <c r="BA64" s="32"/>
      <c r="BB64" s="53"/>
      <c r="BC64" s="54" t="str">
        <f>IFERROR(VLOOKUP(June[[#This Row],[Drug Name8]],'Data Options'!$R$1:$S$100,2,FALSE), " ")</f>
        <v xml:space="preserve"> </v>
      </c>
      <c r="BD64" s="32"/>
      <c r="BE64" s="32"/>
      <c r="BF64" s="53"/>
      <c r="BG64" s="54" t="str">
        <f>IFERROR(VLOOKUP(June[[#This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54" t="str">
        <f>IFERROR(VLOOKUP(June[[#This Row],[Drug Name]],'Data Options'!$R$1:$S$100,2,FALSE), " ")</f>
        <v xml:space="preserve"> </v>
      </c>
      <c r="R65" s="32"/>
      <c r="S65" s="32"/>
      <c r="T65" s="53"/>
      <c r="U65" s="54" t="str">
        <f>IFERROR(VLOOKUP(June[[#This Row],[Drug Name2]],'Data Options'!$R$1:$S$100,2,FALSE), " ")</f>
        <v xml:space="preserve"> </v>
      </c>
      <c r="V65" s="32"/>
      <c r="W65" s="32"/>
      <c r="X65" s="53"/>
      <c r="Y65" s="54" t="str">
        <f>IFERROR(VLOOKUP(June[[#This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54" t="str">
        <f>IFERROR(VLOOKUP(June[[#This Row],[Drug Name4]],'Data Options'!$R$1:$S$100,2,FALSE), " ")</f>
        <v xml:space="preserve"> </v>
      </c>
      <c r="AI65" s="32"/>
      <c r="AJ65" s="32"/>
      <c r="AK65" s="53"/>
      <c r="AL65" s="54" t="str">
        <f>IFERROR(VLOOKUP(June[[#This Row],[Drug Name5]],'Data Options'!$R$1:$S$100,2,FALSE), " ")</f>
        <v xml:space="preserve"> </v>
      </c>
      <c r="AM65" s="32"/>
      <c r="AN65" s="32"/>
      <c r="AO65" s="53"/>
      <c r="AP65" s="54" t="str">
        <f>IFERROR(VLOOKUP(June[[#This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54" t="str">
        <f>IFERROR(VLOOKUP(June[[#This Row],[Drug Name7]],'Data Options'!$R$1:$S$100,2,FALSE), " ")</f>
        <v xml:space="preserve"> </v>
      </c>
      <c r="AZ65" s="32"/>
      <c r="BA65" s="32"/>
      <c r="BB65" s="53"/>
      <c r="BC65" s="54" t="str">
        <f>IFERROR(VLOOKUP(June[[#This Row],[Drug Name8]],'Data Options'!$R$1:$S$100,2,FALSE), " ")</f>
        <v xml:space="preserve"> </v>
      </c>
      <c r="BD65" s="32"/>
      <c r="BE65" s="32"/>
      <c r="BF65" s="53"/>
      <c r="BG65" s="54" t="str">
        <f>IFERROR(VLOOKUP(June[[#This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54" t="str">
        <f>IFERROR(VLOOKUP(June[[#This Row],[Drug Name]],'Data Options'!$R$1:$S$100,2,FALSE), " ")</f>
        <v xml:space="preserve"> </v>
      </c>
      <c r="R66" s="32"/>
      <c r="S66" s="32"/>
      <c r="T66" s="53"/>
      <c r="U66" s="54" t="str">
        <f>IFERROR(VLOOKUP(June[[#This Row],[Drug Name2]],'Data Options'!$R$1:$S$100,2,FALSE), " ")</f>
        <v xml:space="preserve"> </v>
      </c>
      <c r="V66" s="32"/>
      <c r="W66" s="32"/>
      <c r="X66" s="53"/>
      <c r="Y66" s="54" t="str">
        <f>IFERROR(VLOOKUP(June[[#This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54" t="str">
        <f>IFERROR(VLOOKUP(June[[#This Row],[Drug Name4]],'Data Options'!$R$1:$S$100,2,FALSE), " ")</f>
        <v xml:space="preserve"> </v>
      </c>
      <c r="AI66" s="32"/>
      <c r="AJ66" s="32"/>
      <c r="AK66" s="53"/>
      <c r="AL66" s="54" t="str">
        <f>IFERROR(VLOOKUP(June[[#This Row],[Drug Name5]],'Data Options'!$R$1:$S$100,2,FALSE), " ")</f>
        <v xml:space="preserve"> </v>
      </c>
      <c r="AM66" s="32"/>
      <c r="AN66" s="32"/>
      <c r="AO66" s="53"/>
      <c r="AP66" s="54" t="str">
        <f>IFERROR(VLOOKUP(June[[#This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54" t="str">
        <f>IFERROR(VLOOKUP(June[[#This Row],[Drug Name7]],'Data Options'!$R$1:$S$100,2,FALSE), " ")</f>
        <v xml:space="preserve"> </v>
      </c>
      <c r="AZ66" s="32"/>
      <c r="BA66" s="32"/>
      <c r="BB66" s="53"/>
      <c r="BC66" s="54" t="str">
        <f>IFERROR(VLOOKUP(June[[#This Row],[Drug Name8]],'Data Options'!$R$1:$S$100,2,FALSE), " ")</f>
        <v xml:space="preserve"> </v>
      </c>
      <c r="BD66" s="32"/>
      <c r="BE66" s="32"/>
      <c r="BF66" s="53"/>
      <c r="BG66" s="54" t="str">
        <f>IFERROR(VLOOKUP(June[[#This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54" t="str">
        <f>IFERROR(VLOOKUP(June[[#This Row],[Drug Name]],'Data Options'!$R$1:$S$100,2,FALSE), " ")</f>
        <v xml:space="preserve"> </v>
      </c>
      <c r="R67" s="32"/>
      <c r="S67" s="32"/>
      <c r="T67" s="53"/>
      <c r="U67" s="54" t="str">
        <f>IFERROR(VLOOKUP(June[[#This Row],[Drug Name2]],'Data Options'!$R$1:$S$100,2,FALSE), " ")</f>
        <v xml:space="preserve"> </v>
      </c>
      <c r="V67" s="32"/>
      <c r="W67" s="32"/>
      <c r="X67" s="53"/>
      <c r="Y67" s="54" t="str">
        <f>IFERROR(VLOOKUP(June[[#This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54" t="str">
        <f>IFERROR(VLOOKUP(June[[#This Row],[Drug Name4]],'Data Options'!$R$1:$S$100,2,FALSE), " ")</f>
        <v xml:space="preserve"> </v>
      </c>
      <c r="AI67" s="32"/>
      <c r="AJ67" s="32"/>
      <c r="AK67" s="53"/>
      <c r="AL67" s="54" t="str">
        <f>IFERROR(VLOOKUP(June[[#This Row],[Drug Name5]],'Data Options'!$R$1:$S$100,2,FALSE), " ")</f>
        <v xml:space="preserve"> </v>
      </c>
      <c r="AM67" s="32"/>
      <c r="AN67" s="32"/>
      <c r="AO67" s="53"/>
      <c r="AP67" s="54" t="str">
        <f>IFERROR(VLOOKUP(June[[#This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54" t="str">
        <f>IFERROR(VLOOKUP(June[[#This Row],[Drug Name7]],'Data Options'!$R$1:$S$100,2,FALSE), " ")</f>
        <v xml:space="preserve"> </v>
      </c>
      <c r="AZ67" s="32"/>
      <c r="BA67" s="32"/>
      <c r="BB67" s="53"/>
      <c r="BC67" s="54" t="str">
        <f>IFERROR(VLOOKUP(June[[#This Row],[Drug Name8]],'Data Options'!$R$1:$S$100,2,FALSE), " ")</f>
        <v xml:space="preserve"> </v>
      </c>
      <c r="BD67" s="32"/>
      <c r="BE67" s="32"/>
      <c r="BF67" s="53"/>
      <c r="BG67" s="54" t="str">
        <f>IFERROR(VLOOKUP(June[[#This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54" t="str">
        <f>IFERROR(VLOOKUP(June[[#This Row],[Drug Name]],'Data Options'!$R$1:$S$100,2,FALSE), " ")</f>
        <v xml:space="preserve"> </v>
      </c>
      <c r="R68" s="32"/>
      <c r="S68" s="32"/>
      <c r="T68" s="53"/>
      <c r="U68" s="54" t="str">
        <f>IFERROR(VLOOKUP(June[[#This Row],[Drug Name2]],'Data Options'!$R$1:$S$100,2,FALSE), " ")</f>
        <v xml:space="preserve"> </v>
      </c>
      <c r="V68" s="32"/>
      <c r="W68" s="32"/>
      <c r="X68" s="53"/>
      <c r="Y68" s="54" t="str">
        <f>IFERROR(VLOOKUP(June[[#This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54" t="str">
        <f>IFERROR(VLOOKUP(June[[#This Row],[Drug Name4]],'Data Options'!$R$1:$S$100,2,FALSE), " ")</f>
        <v xml:space="preserve"> </v>
      </c>
      <c r="AI68" s="32"/>
      <c r="AJ68" s="32"/>
      <c r="AK68" s="53"/>
      <c r="AL68" s="54" t="str">
        <f>IFERROR(VLOOKUP(June[[#This Row],[Drug Name5]],'Data Options'!$R$1:$S$100,2,FALSE), " ")</f>
        <v xml:space="preserve"> </v>
      </c>
      <c r="AM68" s="32"/>
      <c r="AN68" s="32"/>
      <c r="AO68" s="53"/>
      <c r="AP68" s="54" t="str">
        <f>IFERROR(VLOOKUP(June[[#This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54" t="str">
        <f>IFERROR(VLOOKUP(June[[#This Row],[Drug Name7]],'Data Options'!$R$1:$S$100,2,FALSE), " ")</f>
        <v xml:space="preserve"> </v>
      </c>
      <c r="AZ68" s="32"/>
      <c r="BA68" s="32"/>
      <c r="BB68" s="53"/>
      <c r="BC68" s="54" t="str">
        <f>IFERROR(VLOOKUP(June[[#This Row],[Drug Name8]],'Data Options'!$R$1:$S$100,2,FALSE), " ")</f>
        <v xml:space="preserve"> </v>
      </c>
      <c r="BD68" s="32"/>
      <c r="BE68" s="32"/>
      <c r="BF68" s="53"/>
      <c r="BG68" s="54" t="str">
        <f>IFERROR(VLOOKUP(June[[#This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54" t="str">
        <f>IFERROR(VLOOKUP(June[[#This Row],[Drug Name]],'Data Options'!$R$1:$S$100,2,FALSE), " ")</f>
        <v xml:space="preserve"> </v>
      </c>
      <c r="R69" s="32"/>
      <c r="S69" s="32"/>
      <c r="T69" s="53"/>
      <c r="U69" s="54" t="str">
        <f>IFERROR(VLOOKUP(June[[#This Row],[Drug Name2]],'Data Options'!$R$1:$S$100,2,FALSE), " ")</f>
        <v xml:space="preserve"> </v>
      </c>
      <c r="V69" s="32"/>
      <c r="W69" s="32"/>
      <c r="X69" s="53"/>
      <c r="Y69" s="54" t="str">
        <f>IFERROR(VLOOKUP(June[[#This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54" t="str">
        <f>IFERROR(VLOOKUP(June[[#This Row],[Drug Name4]],'Data Options'!$R$1:$S$100,2,FALSE), " ")</f>
        <v xml:space="preserve"> </v>
      </c>
      <c r="AI69" s="32"/>
      <c r="AJ69" s="32"/>
      <c r="AK69" s="53"/>
      <c r="AL69" s="54" t="str">
        <f>IFERROR(VLOOKUP(June[[#This Row],[Drug Name5]],'Data Options'!$R$1:$S$100,2,FALSE), " ")</f>
        <v xml:space="preserve"> </v>
      </c>
      <c r="AM69" s="32"/>
      <c r="AN69" s="32"/>
      <c r="AO69" s="53"/>
      <c r="AP69" s="54" t="str">
        <f>IFERROR(VLOOKUP(June[[#This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54" t="str">
        <f>IFERROR(VLOOKUP(June[[#This Row],[Drug Name7]],'Data Options'!$R$1:$S$100,2,FALSE), " ")</f>
        <v xml:space="preserve"> </v>
      </c>
      <c r="AZ69" s="32"/>
      <c r="BA69" s="32"/>
      <c r="BB69" s="53"/>
      <c r="BC69" s="54" t="str">
        <f>IFERROR(VLOOKUP(June[[#This Row],[Drug Name8]],'Data Options'!$R$1:$S$100,2,FALSE), " ")</f>
        <v xml:space="preserve"> </v>
      </c>
      <c r="BD69" s="32"/>
      <c r="BE69" s="32"/>
      <c r="BF69" s="53"/>
      <c r="BG69" s="54" t="str">
        <f>IFERROR(VLOOKUP(June[[#This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54" t="str">
        <f>IFERROR(VLOOKUP(June[[#This Row],[Drug Name]],'Data Options'!$R$1:$S$100,2,FALSE), " ")</f>
        <v xml:space="preserve"> </v>
      </c>
      <c r="R70" s="32"/>
      <c r="S70" s="32"/>
      <c r="T70" s="53"/>
      <c r="U70" s="54" t="str">
        <f>IFERROR(VLOOKUP(June[[#This Row],[Drug Name2]],'Data Options'!$R$1:$S$100,2,FALSE), " ")</f>
        <v xml:space="preserve"> </v>
      </c>
      <c r="V70" s="32"/>
      <c r="W70" s="32"/>
      <c r="X70" s="53"/>
      <c r="Y70" s="54" t="str">
        <f>IFERROR(VLOOKUP(June[[#This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54" t="str">
        <f>IFERROR(VLOOKUP(June[[#This Row],[Drug Name4]],'Data Options'!$R$1:$S$100,2,FALSE), " ")</f>
        <v xml:space="preserve"> </v>
      </c>
      <c r="AI70" s="32"/>
      <c r="AJ70" s="32"/>
      <c r="AK70" s="53"/>
      <c r="AL70" s="54" t="str">
        <f>IFERROR(VLOOKUP(June[[#This Row],[Drug Name5]],'Data Options'!$R$1:$S$100,2,FALSE), " ")</f>
        <v xml:space="preserve"> </v>
      </c>
      <c r="AM70" s="32"/>
      <c r="AN70" s="32"/>
      <c r="AO70" s="53"/>
      <c r="AP70" s="54" t="str">
        <f>IFERROR(VLOOKUP(June[[#This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54" t="str">
        <f>IFERROR(VLOOKUP(June[[#This Row],[Drug Name7]],'Data Options'!$R$1:$S$100,2,FALSE), " ")</f>
        <v xml:space="preserve"> </v>
      </c>
      <c r="AZ70" s="32"/>
      <c r="BA70" s="32"/>
      <c r="BB70" s="53"/>
      <c r="BC70" s="54" t="str">
        <f>IFERROR(VLOOKUP(June[[#This Row],[Drug Name8]],'Data Options'!$R$1:$S$100,2,FALSE), " ")</f>
        <v xml:space="preserve"> </v>
      </c>
      <c r="BD70" s="32"/>
      <c r="BE70" s="32"/>
      <c r="BF70" s="53"/>
      <c r="BG70" s="54" t="str">
        <f>IFERROR(VLOOKUP(June[[#This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54" t="str">
        <f>IFERROR(VLOOKUP(June[[#This Row],[Drug Name]],'Data Options'!$R$1:$S$100,2,FALSE), " ")</f>
        <v xml:space="preserve"> </v>
      </c>
      <c r="R71" s="32"/>
      <c r="S71" s="32"/>
      <c r="T71" s="53"/>
      <c r="U71" s="54" t="str">
        <f>IFERROR(VLOOKUP(June[[#This Row],[Drug Name2]],'Data Options'!$R$1:$S$100,2,FALSE), " ")</f>
        <v xml:space="preserve"> </v>
      </c>
      <c r="V71" s="32"/>
      <c r="W71" s="32"/>
      <c r="X71" s="53"/>
      <c r="Y71" s="54" t="str">
        <f>IFERROR(VLOOKUP(June[[#This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54" t="str">
        <f>IFERROR(VLOOKUP(June[[#This Row],[Drug Name4]],'Data Options'!$R$1:$S$100,2,FALSE), " ")</f>
        <v xml:space="preserve"> </v>
      </c>
      <c r="AI71" s="32"/>
      <c r="AJ71" s="32"/>
      <c r="AK71" s="53"/>
      <c r="AL71" s="54" t="str">
        <f>IFERROR(VLOOKUP(June[[#This Row],[Drug Name5]],'Data Options'!$R$1:$S$100,2,FALSE), " ")</f>
        <v xml:space="preserve"> </v>
      </c>
      <c r="AM71" s="32"/>
      <c r="AN71" s="32"/>
      <c r="AO71" s="53"/>
      <c r="AP71" s="54" t="str">
        <f>IFERROR(VLOOKUP(June[[#This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54" t="str">
        <f>IFERROR(VLOOKUP(June[[#This Row],[Drug Name7]],'Data Options'!$R$1:$S$100,2,FALSE), " ")</f>
        <v xml:space="preserve"> </v>
      </c>
      <c r="AZ71" s="32"/>
      <c r="BA71" s="32"/>
      <c r="BB71" s="53"/>
      <c r="BC71" s="54" t="str">
        <f>IFERROR(VLOOKUP(June[[#This Row],[Drug Name8]],'Data Options'!$R$1:$S$100,2,FALSE), " ")</f>
        <v xml:space="preserve"> </v>
      </c>
      <c r="BD71" s="32"/>
      <c r="BE71" s="32"/>
      <c r="BF71" s="53"/>
      <c r="BG71" s="54" t="str">
        <f>IFERROR(VLOOKUP(June[[#This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54" t="str">
        <f>IFERROR(VLOOKUP(June[[#This Row],[Drug Name]],'Data Options'!$R$1:$S$100,2,FALSE), " ")</f>
        <v xml:space="preserve"> </v>
      </c>
      <c r="R72" s="32"/>
      <c r="S72" s="32"/>
      <c r="T72" s="53"/>
      <c r="U72" s="54" t="str">
        <f>IFERROR(VLOOKUP(June[[#This Row],[Drug Name2]],'Data Options'!$R$1:$S$100,2,FALSE), " ")</f>
        <v xml:space="preserve"> </v>
      </c>
      <c r="V72" s="32"/>
      <c r="W72" s="32"/>
      <c r="X72" s="53"/>
      <c r="Y72" s="54" t="str">
        <f>IFERROR(VLOOKUP(June[[#This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54" t="str">
        <f>IFERROR(VLOOKUP(June[[#This Row],[Drug Name4]],'Data Options'!$R$1:$S$100,2,FALSE), " ")</f>
        <v xml:space="preserve"> </v>
      </c>
      <c r="AI72" s="32"/>
      <c r="AJ72" s="32"/>
      <c r="AK72" s="53"/>
      <c r="AL72" s="54" t="str">
        <f>IFERROR(VLOOKUP(June[[#This Row],[Drug Name5]],'Data Options'!$R$1:$S$100,2,FALSE), " ")</f>
        <v xml:space="preserve"> </v>
      </c>
      <c r="AM72" s="32"/>
      <c r="AN72" s="32"/>
      <c r="AO72" s="53"/>
      <c r="AP72" s="54" t="str">
        <f>IFERROR(VLOOKUP(June[[#This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54" t="str">
        <f>IFERROR(VLOOKUP(June[[#This Row],[Drug Name7]],'Data Options'!$R$1:$S$100,2,FALSE), " ")</f>
        <v xml:space="preserve"> </v>
      </c>
      <c r="AZ72" s="32"/>
      <c r="BA72" s="32"/>
      <c r="BB72" s="53"/>
      <c r="BC72" s="54" t="str">
        <f>IFERROR(VLOOKUP(June[[#This Row],[Drug Name8]],'Data Options'!$R$1:$S$100,2,FALSE), " ")</f>
        <v xml:space="preserve"> </v>
      </c>
      <c r="BD72" s="32"/>
      <c r="BE72" s="32"/>
      <c r="BF72" s="53"/>
      <c r="BG72" s="54" t="str">
        <f>IFERROR(VLOOKUP(June[[#This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54" t="str">
        <f>IFERROR(VLOOKUP(June[[#This Row],[Drug Name]],'Data Options'!$R$1:$S$100,2,FALSE), " ")</f>
        <v xml:space="preserve"> </v>
      </c>
      <c r="R73" s="32"/>
      <c r="S73" s="32"/>
      <c r="T73" s="53"/>
      <c r="U73" s="54" t="str">
        <f>IFERROR(VLOOKUP(June[[#This Row],[Drug Name2]],'Data Options'!$R$1:$S$100,2,FALSE), " ")</f>
        <v xml:space="preserve"> </v>
      </c>
      <c r="V73" s="32"/>
      <c r="W73" s="32"/>
      <c r="X73" s="53"/>
      <c r="Y73" s="54" t="str">
        <f>IFERROR(VLOOKUP(June[[#This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54" t="str">
        <f>IFERROR(VLOOKUP(June[[#This Row],[Drug Name4]],'Data Options'!$R$1:$S$100,2,FALSE), " ")</f>
        <v xml:space="preserve"> </v>
      </c>
      <c r="AI73" s="32"/>
      <c r="AJ73" s="32"/>
      <c r="AK73" s="53"/>
      <c r="AL73" s="54" t="str">
        <f>IFERROR(VLOOKUP(June[[#This Row],[Drug Name5]],'Data Options'!$R$1:$S$100,2,FALSE), " ")</f>
        <v xml:space="preserve"> </v>
      </c>
      <c r="AM73" s="32"/>
      <c r="AN73" s="32"/>
      <c r="AO73" s="53"/>
      <c r="AP73" s="54" t="str">
        <f>IFERROR(VLOOKUP(June[[#This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54" t="str">
        <f>IFERROR(VLOOKUP(June[[#This Row],[Drug Name7]],'Data Options'!$R$1:$S$100,2,FALSE), " ")</f>
        <v xml:space="preserve"> </v>
      </c>
      <c r="AZ73" s="32"/>
      <c r="BA73" s="32"/>
      <c r="BB73" s="53"/>
      <c r="BC73" s="54" t="str">
        <f>IFERROR(VLOOKUP(June[[#This Row],[Drug Name8]],'Data Options'!$R$1:$S$100,2,FALSE), " ")</f>
        <v xml:space="preserve"> </v>
      </c>
      <c r="BD73" s="32"/>
      <c r="BE73" s="32"/>
      <c r="BF73" s="53"/>
      <c r="BG73" s="54" t="str">
        <f>IFERROR(VLOOKUP(June[[#This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54" t="str">
        <f>IFERROR(VLOOKUP(June[[#This Row],[Drug Name]],'Data Options'!$R$1:$S$100,2,FALSE), " ")</f>
        <v xml:space="preserve"> </v>
      </c>
      <c r="R74" s="32"/>
      <c r="S74" s="32"/>
      <c r="T74" s="53"/>
      <c r="U74" s="54" t="str">
        <f>IFERROR(VLOOKUP(June[[#This Row],[Drug Name2]],'Data Options'!$R$1:$S$100,2,FALSE), " ")</f>
        <v xml:space="preserve"> </v>
      </c>
      <c r="V74" s="32"/>
      <c r="W74" s="32"/>
      <c r="X74" s="53"/>
      <c r="Y74" s="54" t="str">
        <f>IFERROR(VLOOKUP(June[[#This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54" t="str">
        <f>IFERROR(VLOOKUP(June[[#This Row],[Drug Name4]],'Data Options'!$R$1:$S$100,2,FALSE), " ")</f>
        <v xml:space="preserve"> </v>
      </c>
      <c r="AI74" s="32"/>
      <c r="AJ74" s="32"/>
      <c r="AK74" s="53"/>
      <c r="AL74" s="54" t="str">
        <f>IFERROR(VLOOKUP(June[[#This Row],[Drug Name5]],'Data Options'!$R$1:$S$100,2,FALSE), " ")</f>
        <v xml:space="preserve"> </v>
      </c>
      <c r="AM74" s="32"/>
      <c r="AN74" s="32"/>
      <c r="AO74" s="53"/>
      <c r="AP74" s="54" t="str">
        <f>IFERROR(VLOOKUP(June[[#This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54" t="str">
        <f>IFERROR(VLOOKUP(June[[#This Row],[Drug Name7]],'Data Options'!$R$1:$S$100,2,FALSE), " ")</f>
        <v xml:space="preserve"> </v>
      </c>
      <c r="AZ74" s="32"/>
      <c r="BA74" s="32"/>
      <c r="BB74" s="53"/>
      <c r="BC74" s="54" t="str">
        <f>IFERROR(VLOOKUP(June[[#This Row],[Drug Name8]],'Data Options'!$R$1:$S$100,2,FALSE), " ")</f>
        <v xml:space="preserve"> </v>
      </c>
      <c r="BD74" s="32"/>
      <c r="BE74" s="32"/>
      <c r="BF74" s="53"/>
      <c r="BG74" s="54" t="str">
        <f>IFERROR(VLOOKUP(June[[#This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54" t="str">
        <f>IFERROR(VLOOKUP(June[[#This Row],[Drug Name]],'Data Options'!$R$1:$S$100,2,FALSE), " ")</f>
        <v xml:space="preserve"> </v>
      </c>
      <c r="R75" s="32"/>
      <c r="S75" s="32"/>
      <c r="T75" s="53"/>
      <c r="U75" s="54" t="str">
        <f>IFERROR(VLOOKUP(June[[#This Row],[Drug Name2]],'Data Options'!$R$1:$S$100,2,FALSE), " ")</f>
        <v xml:space="preserve"> </v>
      </c>
      <c r="V75" s="32"/>
      <c r="W75" s="32"/>
      <c r="X75" s="53"/>
      <c r="Y75" s="54" t="str">
        <f>IFERROR(VLOOKUP(June[[#This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54" t="str">
        <f>IFERROR(VLOOKUP(June[[#This Row],[Drug Name4]],'Data Options'!$R$1:$S$100,2,FALSE), " ")</f>
        <v xml:space="preserve"> </v>
      </c>
      <c r="AI75" s="32"/>
      <c r="AJ75" s="32"/>
      <c r="AK75" s="53"/>
      <c r="AL75" s="54" t="str">
        <f>IFERROR(VLOOKUP(June[[#This Row],[Drug Name5]],'Data Options'!$R$1:$S$100,2,FALSE), " ")</f>
        <v xml:space="preserve"> </v>
      </c>
      <c r="AM75" s="32"/>
      <c r="AN75" s="32"/>
      <c r="AO75" s="53"/>
      <c r="AP75" s="54" t="str">
        <f>IFERROR(VLOOKUP(June[[#This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54" t="str">
        <f>IFERROR(VLOOKUP(June[[#This Row],[Drug Name7]],'Data Options'!$R$1:$S$100,2,FALSE), " ")</f>
        <v xml:space="preserve"> </v>
      </c>
      <c r="AZ75" s="32"/>
      <c r="BA75" s="32"/>
      <c r="BB75" s="53"/>
      <c r="BC75" s="54" t="str">
        <f>IFERROR(VLOOKUP(June[[#This Row],[Drug Name8]],'Data Options'!$R$1:$S$100,2,FALSE), " ")</f>
        <v xml:space="preserve"> </v>
      </c>
      <c r="BD75" s="32"/>
      <c r="BE75" s="32"/>
      <c r="BF75" s="53"/>
      <c r="BG75" s="54" t="str">
        <f>IFERROR(VLOOKUP(June[[#This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54" t="str">
        <f>IFERROR(VLOOKUP(June[[#This Row],[Drug Name]],'Data Options'!$R$1:$S$100,2,FALSE), " ")</f>
        <v xml:space="preserve"> </v>
      </c>
      <c r="R76" s="32"/>
      <c r="S76" s="32"/>
      <c r="T76" s="53"/>
      <c r="U76" s="54" t="str">
        <f>IFERROR(VLOOKUP(June[[#This Row],[Drug Name2]],'Data Options'!$R$1:$S$100,2,FALSE), " ")</f>
        <v xml:space="preserve"> </v>
      </c>
      <c r="V76" s="32"/>
      <c r="W76" s="32"/>
      <c r="X76" s="53"/>
      <c r="Y76" s="54" t="str">
        <f>IFERROR(VLOOKUP(June[[#This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54" t="str">
        <f>IFERROR(VLOOKUP(June[[#This Row],[Drug Name4]],'Data Options'!$R$1:$S$100,2,FALSE), " ")</f>
        <v xml:space="preserve"> </v>
      </c>
      <c r="AI76" s="32"/>
      <c r="AJ76" s="32"/>
      <c r="AK76" s="53"/>
      <c r="AL76" s="54" t="str">
        <f>IFERROR(VLOOKUP(June[[#This Row],[Drug Name5]],'Data Options'!$R$1:$S$100,2,FALSE), " ")</f>
        <v xml:space="preserve"> </v>
      </c>
      <c r="AM76" s="32"/>
      <c r="AN76" s="32"/>
      <c r="AO76" s="53"/>
      <c r="AP76" s="54" t="str">
        <f>IFERROR(VLOOKUP(June[[#This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54" t="str">
        <f>IFERROR(VLOOKUP(June[[#This Row],[Drug Name7]],'Data Options'!$R$1:$S$100,2,FALSE), " ")</f>
        <v xml:space="preserve"> </v>
      </c>
      <c r="AZ76" s="32"/>
      <c r="BA76" s="32"/>
      <c r="BB76" s="53"/>
      <c r="BC76" s="54" t="str">
        <f>IFERROR(VLOOKUP(June[[#This Row],[Drug Name8]],'Data Options'!$R$1:$S$100,2,FALSE), " ")</f>
        <v xml:space="preserve"> </v>
      </c>
      <c r="BD76" s="32"/>
      <c r="BE76" s="32"/>
      <c r="BF76" s="53"/>
      <c r="BG76" s="54" t="str">
        <f>IFERROR(VLOOKUP(June[[#This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54" t="str">
        <f>IFERROR(VLOOKUP(June[[#This Row],[Drug Name]],'Data Options'!$R$1:$S$100,2,FALSE), " ")</f>
        <v xml:space="preserve"> </v>
      </c>
      <c r="R77" s="32"/>
      <c r="S77" s="32"/>
      <c r="T77" s="53"/>
      <c r="U77" s="54" t="str">
        <f>IFERROR(VLOOKUP(June[[#This Row],[Drug Name2]],'Data Options'!$R$1:$S$100,2,FALSE), " ")</f>
        <v xml:space="preserve"> </v>
      </c>
      <c r="V77" s="32"/>
      <c r="W77" s="32"/>
      <c r="X77" s="53"/>
      <c r="Y77" s="54" t="str">
        <f>IFERROR(VLOOKUP(June[[#This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54" t="str">
        <f>IFERROR(VLOOKUP(June[[#This Row],[Drug Name4]],'Data Options'!$R$1:$S$100,2,FALSE), " ")</f>
        <v xml:space="preserve"> </v>
      </c>
      <c r="AI77" s="32"/>
      <c r="AJ77" s="32"/>
      <c r="AK77" s="53"/>
      <c r="AL77" s="54" t="str">
        <f>IFERROR(VLOOKUP(June[[#This Row],[Drug Name5]],'Data Options'!$R$1:$S$100,2,FALSE), " ")</f>
        <v xml:space="preserve"> </v>
      </c>
      <c r="AM77" s="32"/>
      <c r="AN77" s="32"/>
      <c r="AO77" s="53"/>
      <c r="AP77" s="54" t="str">
        <f>IFERROR(VLOOKUP(June[[#This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54" t="str">
        <f>IFERROR(VLOOKUP(June[[#This Row],[Drug Name7]],'Data Options'!$R$1:$S$100,2,FALSE), " ")</f>
        <v xml:space="preserve"> </v>
      </c>
      <c r="AZ77" s="32"/>
      <c r="BA77" s="32"/>
      <c r="BB77" s="53"/>
      <c r="BC77" s="54" t="str">
        <f>IFERROR(VLOOKUP(June[[#This Row],[Drug Name8]],'Data Options'!$R$1:$S$100,2,FALSE), " ")</f>
        <v xml:space="preserve"> </v>
      </c>
      <c r="BD77" s="32"/>
      <c r="BE77" s="32"/>
      <c r="BF77" s="53"/>
      <c r="BG77" s="54" t="str">
        <f>IFERROR(VLOOKUP(June[[#This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54" t="str">
        <f>IFERROR(VLOOKUP(June[[#This Row],[Drug Name]],'Data Options'!$R$1:$S$100,2,FALSE), " ")</f>
        <v xml:space="preserve"> </v>
      </c>
      <c r="R78" s="32"/>
      <c r="S78" s="32"/>
      <c r="T78" s="53"/>
      <c r="U78" s="54" t="str">
        <f>IFERROR(VLOOKUP(June[[#This Row],[Drug Name2]],'Data Options'!$R$1:$S$100,2,FALSE), " ")</f>
        <v xml:space="preserve"> </v>
      </c>
      <c r="V78" s="32"/>
      <c r="W78" s="32"/>
      <c r="X78" s="53"/>
      <c r="Y78" s="54" t="str">
        <f>IFERROR(VLOOKUP(June[[#This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54" t="str">
        <f>IFERROR(VLOOKUP(June[[#This Row],[Drug Name4]],'Data Options'!$R$1:$S$100,2,FALSE), " ")</f>
        <v xml:space="preserve"> </v>
      </c>
      <c r="AI78" s="32"/>
      <c r="AJ78" s="32"/>
      <c r="AK78" s="53"/>
      <c r="AL78" s="54" t="str">
        <f>IFERROR(VLOOKUP(June[[#This Row],[Drug Name5]],'Data Options'!$R$1:$S$100,2,FALSE), " ")</f>
        <v xml:space="preserve"> </v>
      </c>
      <c r="AM78" s="32"/>
      <c r="AN78" s="32"/>
      <c r="AO78" s="53"/>
      <c r="AP78" s="54" t="str">
        <f>IFERROR(VLOOKUP(June[[#This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54" t="str">
        <f>IFERROR(VLOOKUP(June[[#This Row],[Drug Name7]],'Data Options'!$R$1:$S$100,2,FALSE), " ")</f>
        <v xml:space="preserve"> </v>
      </c>
      <c r="AZ78" s="32"/>
      <c r="BA78" s="32"/>
      <c r="BB78" s="53"/>
      <c r="BC78" s="54" t="str">
        <f>IFERROR(VLOOKUP(June[[#This Row],[Drug Name8]],'Data Options'!$R$1:$S$100,2,FALSE), " ")</f>
        <v xml:space="preserve"> </v>
      </c>
      <c r="BD78" s="32"/>
      <c r="BE78" s="32"/>
      <c r="BF78" s="53"/>
      <c r="BG78" s="54" t="str">
        <f>IFERROR(VLOOKUP(June[[#This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54" t="str">
        <f>IFERROR(VLOOKUP(June[[#This Row],[Drug Name]],'Data Options'!$R$1:$S$100,2,FALSE), " ")</f>
        <v xml:space="preserve"> </v>
      </c>
      <c r="R79" s="32"/>
      <c r="S79" s="32"/>
      <c r="T79" s="53"/>
      <c r="U79" s="54" t="str">
        <f>IFERROR(VLOOKUP(June[[#This Row],[Drug Name2]],'Data Options'!$R$1:$S$100,2,FALSE), " ")</f>
        <v xml:space="preserve"> </v>
      </c>
      <c r="V79" s="32"/>
      <c r="W79" s="32"/>
      <c r="X79" s="53"/>
      <c r="Y79" s="54" t="str">
        <f>IFERROR(VLOOKUP(June[[#This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54" t="str">
        <f>IFERROR(VLOOKUP(June[[#This Row],[Drug Name4]],'Data Options'!$R$1:$S$100,2,FALSE), " ")</f>
        <v xml:space="preserve"> </v>
      </c>
      <c r="AI79" s="32"/>
      <c r="AJ79" s="32"/>
      <c r="AK79" s="53"/>
      <c r="AL79" s="54" t="str">
        <f>IFERROR(VLOOKUP(June[[#This Row],[Drug Name5]],'Data Options'!$R$1:$S$100,2,FALSE), " ")</f>
        <v xml:space="preserve"> </v>
      </c>
      <c r="AM79" s="32"/>
      <c r="AN79" s="32"/>
      <c r="AO79" s="53"/>
      <c r="AP79" s="54" t="str">
        <f>IFERROR(VLOOKUP(June[[#This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54" t="str">
        <f>IFERROR(VLOOKUP(June[[#This Row],[Drug Name7]],'Data Options'!$R$1:$S$100,2,FALSE), " ")</f>
        <v xml:space="preserve"> </v>
      </c>
      <c r="AZ79" s="32"/>
      <c r="BA79" s="32"/>
      <c r="BB79" s="53"/>
      <c r="BC79" s="54" t="str">
        <f>IFERROR(VLOOKUP(June[[#This Row],[Drug Name8]],'Data Options'!$R$1:$S$100,2,FALSE), " ")</f>
        <v xml:space="preserve"> </v>
      </c>
      <c r="BD79" s="32"/>
      <c r="BE79" s="32"/>
      <c r="BF79" s="53"/>
      <c r="BG79" s="54" t="str">
        <f>IFERROR(VLOOKUP(June[[#This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54" t="str">
        <f>IFERROR(VLOOKUP(June[[#This Row],[Drug Name]],'Data Options'!$R$1:$S$100,2,FALSE), " ")</f>
        <v xml:space="preserve"> </v>
      </c>
      <c r="R80" s="32"/>
      <c r="S80" s="32"/>
      <c r="T80" s="53"/>
      <c r="U80" s="54" t="str">
        <f>IFERROR(VLOOKUP(June[[#This Row],[Drug Name2]],'Data Options'!$R$1:$S$100,2,FALSE), " ")</f>
        <v xml:space="preserve"> </v>
      </c>
      <c r="V80" s="32"/>
      <c r="W80" s="32"/>
      <c r="X80" s="53"/>
      <c r="Y80" s="54" t="str">
        <f>IFERROR(VLOOKUP(June[[#This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54" t="str">
        <f>IFERROR(VLOOKUP(June[[#This Row],[Drug Name4]],'Data Options'!$R$1:$S$100,2,FALSE), " ")</f>
        <v xml:space="preserve"> </v>
      </c>
      <c r="AI80" s="32"/>
      <c r="AJ80" s="32"/>
      <c r="AK80" s="53"/>
      <c r="AL80" s="54" t="str">
        <f>IFERROR(VLOOKUP(June[[#This Row],[Drug Name5]],'Data Options'!$R$1:$S$100,2,FALSE), " ")</f>
        <v xml:space="preserve"> </v>
      </c>
      <c r="AM80" s="32"/>
      <c r="AN80" s="32"/>
      <c r="AO80" s="53"/>
      <c r="AP80" s="54" t="str">
        <f>IFERROR(VLOOKUP(June[[#This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54" t="str">
        <f>IFERROR(VLOOKUP(June[[#This Row],[Drug Name7]],'Data Options'!$R$1:$S$100,2,FALSE), " ")</f>
        <v xml:space="preserve"> </v>
      </c>
      <c r="AZ80" s="32"/>
      <c r="BA80" s="32"/>
      <c r="BB80" s="53"/>
      <c r="BC80" s="54" t="str">
        <f>IFERROR(VLOOKUP(June[[#This Row],[Drug Name8]],'Data Options'!$R$1:$S$100,2,FALSE), " ")</f>
        <v xml:space="preserve"> </v>
      </c>
      <c r="BD80" s="32"/>
      <c r="BE80" s="32"/>
      <c r="BF80" s="53"/>
      <c r="BG80" s="54" t="str">
        <f>IFERROR(VLOOKUP(June[[#This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54" t="str">
        <f>IFERROR(VLOOKUP(June[[#This Row],[Drug Name]],'Data Options'!$R$1:$S$100,2,FALSE), " ")</f>
        <v xml:space="preserve"> </v>
      </c>
      <c r="R81" s="32"/>
      <c r="S81" s="32"/>
      <c r="T81" s="53"/>
      <c r="U81" s="54" t="str">
        <f>IFERROR(VLOOKUP(June[[#This Row],[Drug Name2]],'Data Options'!$R$1:$S$100,2,FALSE), " ")</f>
        <v xml:space="preserve"> </v>
      </c>
      <c r="V81" s="32"/>
      <c r="W81" s="32"/>
      <c r="X81" s="53"/>
      <c r="Y81" s="54" t="str">
        <f>IFERROR(VLOOKUP(June[[#This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54" t="str">
        <f>IFERROR(VLOOKUP(June[[#This Row],[Drug Name4]],'Data Options'!$R$1:$S$100,2,FALSE), " ")</f>
        <v xml:space="preserve"> </v>
      </c>
      <c r="AI81" s="32"/>
      <c r="AJ81" s="32"/>
      <c r="AK81" s="53"/>
      <c r="AL81" s="54" t="str">
        <f>IFERROR(VLOOKUP(June[[#This Row],[Drug Name5]],'Data Options'!$R$1:$S$100,2,FALSE), " ")</f>
        <v xml:space="preserve"> </v>
      </c>
      <c r="AM81" s="32"/>
      <c r="AN81" s="32"/>
      <c r="AO81" s="53"/>
      <c r="AP81" s="54" t="str">
        <f>IFERROR(VLOOKUP(June[[#This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54" t="str">
        <f>IFERROR(VLOOKUP(June[[#This Row],[Drug Name7]],'Data Options'!$R$1:$S$100,2,FALSE), " ")</f>
        <v xml:space="preserve"> </v>
      </c>
      <c r="AZ81" s="32"/>
      <c r="BA81" s="32"/>
      <c r="BB81" s="53"/>
      <c r="BC81" s="54" t="str">
        <f>IFERROR(VLOOKUP(June[[#This Row],[Drug Name8]],'Data Options'!$R$1:$S$100,2,FALSE), " ")</f>
        <v xml:space="preserve"> </v>
      </c>
      <c r="BD81" s="32"/>
      <c r="BE81" s="32"/>
      <c r="BF81" s="53"/>
      <c r="BG81" s="54" t="str">
        <f>IFERROR(VLOOKUP(June[[#This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54" t="str">
        <f>IFERROR(VLOOKUP(June[[#This Row],[Drug Name]],'Data Options'!$R$1:$S$100,2,FALSE), " ")</f>
        <v xml:space="preserve"> </v>
      </c>
      <c r="R82" s="32"/>
      <c r="S82" s="32"/>
      <c r="T82" s="53"/>
      <c r="U82" s="54" t="str">
        <f>IFERROR(VLOOKUP(June[[#This Row],[Drug Name2]],'Data Options'!$R$1:$S$100,2,FALSE), " ")</f>
        <v xml:space="preserve"> </v>
      </c>
      <c r="V82" s="32"/>
      <c r="W82" s="32"/>
      <c r="X82" s="53"/>
      <c r="Y82" s="54" t="str">
        <f>IFERROR(VLOOKUP(June[[#This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54" t="str">
        <f>IFERROR(VLOOKUP(June[[#This Row],[Drug Name4]],'Data Options'!$R$1:$S$100,2,FALSE), " ")</f>
        <v xml:space="preserve"> </v>
      </c>
      <c r="AI82" s="32"/>
      <c r="AJ82" s="32"/>
      <c r="AK82" s="53"/>
      <c r="AL82" s="54" t="str">
        <f>IFERROR(VLOOKUP(June[[#This Row],[Drug Name5]],'Data Options'!$R$1:$S$100,2,FALSE), " ")</f>
        <v xml:space="preserve"> </v>
      </c>
      <c r="AM82" s="32"/>
      <c r="AN82" s="32"/>
      <c r="AO82" s="53"/>
      <c r="AP82" s="54" t="str">
        <f>IFERROR(VLOOKUP(June[[#This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54" t="str">
        <f>IFERROR(VLOOKUP(June[[#This Row],[Drug Name7]],'Data Options'!$R$1:$S$100,2,FALSE), " ")</f>
        <v xml:space="preserve"> </v>
      </c>
      <c r="AZ82" s="32"/>
      <c r="BA82" s="32"/>
      <c r="BB82" s="53"/>
      <c r="BC82" s="54" t="str">
        <f>IFERROR(VLOOKUP(June[[#This Row],[Drug Name8]],'Data Options'!$R$1:$S$100,2,FALSE), " ")</f>
        <v xml:space="preserve"> </v>
      </c>
      <c r="BD82" s="32"/>
      <c r="BE82" s="32"/>
      <c r="BF82" s="53"/>
      <c r="BG82" s="54" t="str">
        <f>IFERROR(VLOOKUP(June[[#This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54" t="str">
        <f>IFERROR(VLOOKUP(June[[#This Row],[Drug Name]],'Data Options'!$R$1:$S$100,2,FALSE), " ")</f>
        <v xml:space="preserve"> </v>
      </c>
      <c r="R83" s="32"/>
      <c r="S83" s="32"/>
      <c r="T83" s="53"/>
      <c r="U83" s="54" t="str">
        <f>IFERROR(VLOOKUP(June[[#This Row],[Drug Name2]],'Data Options'!$R$1:$S$100,2,FALSE), " ")</f>
        <v xml:space="preserve"> </v>
      </c>
      <c r="V83" s="32"/>
      <c r="W83" s="32"/>
      <c r="X83" s="53"/>
      <c r="Y83" s="54" t="str">
        <f>IFERROR(VLOOKUP(June[[#This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54" t="str">
        <f>IFERROR(VLOOKUP(June[[#This Row],[Drug Name4]],'Data Options'!$R$1:$S$100,2,FALSE), " ")</f>
        <v xml:space="preserve"> </v>
      </c>
      <c r="AI83" s="32"/>
      <c r="AJ83" s="32"/>
      <c r="AK83" s="53"/>
      <c r="AL83" s="54" t="str">
        <f>IFERROR(VLOOKUP(June[[#This Row],[Drug Name5]],'Data Options'!$R$1:$S$100,2,FALSE), " ")</f>
        <v xml:space="preserve"> </v>
      </c>
      <c r="AM83" s="32"/>
      <c r="AN83" s="32"/>
      <c r="AO83" s="53"/>
      <c r="AP83" s="54" t="str">
        <f>IFERROR(VLOOKUP(June[[#This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54" t="str">
        <f>IFERROR(VLOOKUP(June[[#This Row],[Drug Name7]],'Data Options'!$R$1:$S$100,2,FALSE), " ")</f>
        <v xml:space="preserve"> </v>
      </c>
      <c r="AZ83" s="32"/>
      <c r="BA83" s="32"/>
      <c r="BB83" s="53"/>
      <c r="BC83" s="54" t="str">
        <f>IFERROR(VLOOKUP(June[[#This Row],[Drug Name8]],'Data Options'!$R$1:$S$100,2,FALSE), " ")</f>
        <v xml:space="preserve"> </v>
      </c>
      <c r="BD83" s="32"/>
      <c r="BE83" s="32"/>
      <c r="BF83" s="53"/>
      <c r="BG83" s="54" t="str">
        <f>IFERROR(VLOOKUP(June[[#This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54" t="str">
        <f>IFERROR(VLOOKUP(June[[#This Row],[Drug Name]],'Data Options'!$R$1:$S$100,2,FALSE), " ")</f>
        <v xml:space="preserve"> </v>
      </c>
      <c r="R84" s="32"/>
      <c r="S84" s="32"/>
      <c r="T84" s="53"/>
      <c r="U84" s="54" t="str">
        <f>IFERROR(VLOOKUP(June[[#This Row],[Drug Name2]],'Data Options'!$R$1:$S$100,2,FALSE), " ")</f>
        <v xml:space="preserve"> </v>
      </c>
      <c r="V84" s="32"/>
      <c r="W84" s="32"/>
      <c r="X84" s="53"/>
      <c r="Y84" s="54" t="str">
        <f>IFERROR(VLOOKUP(June[[#This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54" t="str">
        <f>IFERROR(VLOOKUP(June[[#This Row],[Drug Name4]],'Data Options'!$R$1:$S$100,2,FALSE), " ")</f>
        <v xml:space="preserve"> </v>
      </c>
      <c r="AI84" s="32"/>
      <c r="AJ84" s="32"/>
      <c r="AK84" s="53"/>
      <c r="AL84" s="54" t="str">
        <f>IFERROR(VLOOKUP(June[[#This Row],[Drug Name5]],'Data Options'!$R$1:$S$100,2,FALSE), " ")</f>
        <v xml:space="preserve"> </v>
      </c>
      <c r="AM84" s="32"/>
      <c r="AN84" s="32"/>
      <c r="AO84" s="53"/>
      <c r="AP84" s="54" t="str">
        <f>IFERROR(VLOOKUP(June[[#This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54" t="str">
        <f>IFERROR(VLOOKUP(June[[#This Row],[Drug Name7]],'Data Options'!$R$1:$S$100,2,FALSE), " ")</f>
        <v xml:space="preserve"> </v>
      </c>
      <c r="AZ84" s="32"/>
      <c r="BA84" s="32"/>
      <c r="BB84" s="53"/>
      <c r="BC84" s="54" t="str">
        <f>IFERROR(VLOOKUP(June[[#This Row],[Drug Name8]],'Data Options'!$R$1:$S$100,2,FALSE), " ")</f>
        <v xml:space="preserve"> </v>
      </c>
      <c r="BD84" s="32"/>
      <c r="BE84" s="32"/>
      <c r="BF84" s="53"/>
      <c r="BG84" s="54" t="str">
        <f>IFERROR(VLOOKUP(June[[#This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54" t="str">
        <f>IFERROR(VLOOKUP(June[[#This Row],[Drug Name]],'Data Options'!$R$1:$S$100,2,FALSE), " ")</f>
        <v xml:space="preserve"> </v>
      </c>
      <c r="R85" s="32"/>
      <c r="S85" s="32"/>
      <c r="T85" s="53"/>
      <c r="U85" s="54" t="str">
        <f>IFERROR(VLOOKUP(June[[#This Row],[Drug Name2]],'Data Options'!$R$1:$S$100,2,FALSE), " ")</f>
        <v xml:space="preserve"> </v>
      </c>
      <c r="V85" s="32"/>
      <c r="W85" s="32"/>
      <c r="X85" s="53"/>
      <c r="Y85" s="54" t="str">
        <f>IFERROR(VLOOKUP(June[[#This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54" t="str">
        <f>IFERROR(VLOOKUP(June[[#This Row],[Drug Name4]],'Data Options'!$R$1:$S$100,2,FALSE), " ")</f>
        <v xml:space="preserve"> </v>
      </c>
      <c r="AI85" s="32"/>
      <c r="AJ85" s="32"/>
      <c r="AK85" s="53"/>
      <c r="AL85" s="54" t="str">
        <f>IFERROR(VLOOKUP(June[[#This Row],[Drug Name5]],'Data Options'!$R$1:$S$100,2,FALSE), " ")</f>
        <v xml:space="preserve"> </v>
      </c>
      <c r="AM85" s="32"/>
      <c r="AN85" s="32"/>
      <c r="AO85" s="53"/>
      <c r="AP85" s="54" t="str">
        <f>IFERROR(VLOOKUP(June[[#This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54" t="str">
        <f>IFERROR(VLOOKUP(June[[#This Row],[Drug Name7]],'Data Options'!$R$1:$S$100,2,FALSE), " ")</f>
        <v xml:space="preserve"> </v>
      </c>
      <c r="AZ85" s="32"/>
      <c r="BA85" s="32"/>
      <c r="BB85" s="53"/>
      <c r="BC85" s="54" t="str">
        <f>IFERROR(VLOOKUP(June[[#This Row],[Drug Name8]],'Data Options'!$R$1:$S$100,2,FALSE), " ")</f>
        <v xml:space="preserve"> </v>
      </c>
      <c r="BD85" s="32"/>
      <c r="BE85" s="32"/>
      <c r="BF85" s="53"/>
      <c r="BG85" s="54" t="str">
        <f>IFERROR(VLOOKUP(June[[#This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54" t="str">
        <f>IFERROR(VLOOKUP(June[[#This Row],[Drug Name]],'Data Options'!$R$1:$S$100,2,FALSE), " ")</f>
        <v xml:space="preserve"> </v>
      </c>
      <c r="R86" s="32"/>
      <c r="S86" s="32"/>
      <c r="T86" s="53"/>
      <c r="U86" s="54" t="str">
        <f>IFERROR(VLOOKUP(June[[#This Row],[Drug Name2]],'Data Options'!$R$1:$S$100,2,FALSE), " ")</f>
        <v xml:space="preserve"> </v>
      </c>
      <c r="V86" s="32"/>
      <c r="W86" s="32"/>
      <c r="X86" s="53"/>
      <c r="Y86" s="54" t="str">
        <f>IFERROR(VLOOKUP(June[[#This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54" t="str">
        <f>IFERROR(VLOOKUP(June[[#This Row],[Drug Name4]],'Data Options'!$R$1:$S$100,2,FALSE), " ")</f>
        <v xml:space="preserve"> </v>
      </c>
      <c r="AI86" s="32"/>
      <c r="AJ86" s="32"/>
      <c r="AK86" s="53"/>
      <c r="AL86" s="54" t="str">
        <f>IFERROR(VLOOKUP(June[[#This Row],[Drug Name5]],'Data Options'!$R$1:$S$100,2,FALSE), " ")</f>
        <v xml:space="preserve"> </v>
      </c>
      <c r="AM86" s="32"/>
      <c r="AN86" s="32"/>
      <c r="AO86" s="53"/>
      <c r="AP86" s="54" t="str">
        <f>IFERROR(VLOOKUP(June[[#This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54" t="str">
        <f>IFERROR(VLOOKUP(June[[#This Row],[Drug Name7]],'Data Options'!$R$1:$S$100,2,FALSE), " ")</f>
        <v xml:space="preserve"> </v>
      </c>
      <c r="AZ86" s="32"/>
      <c r="BA86" s="32"/>
      <c r="BB86" s="53"/>
      <c r="BC86" s="54" t="str">
        <f>IFERROR(VLOOKUP(June[[#This Row],[Drug Name8]],'Data Options'!$R$1:$S$100,2,FALSE), " ")</f>
        <v xml:space="preserve"> </v>
      </c>
      <c r="BD86" s="32"/>
      <c r="BE86" s="32"/>
      <c r="BF86" s="53"/>
      <c r="BG86" s="54" t="str">
        <f>IFERROR(VLOOKUP(June[[#This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54" t="str">
        <f>IFERROR(VLOOKUP(June[[#This Row],[Drug Name]],'Data Options'!$R$1:$S$100,2,FALSE), " ")</f>
        <v xml:space="preserve"> </v>
      </c>
      <c r="R87" s="32"/>
      <c r="S87" s="32"/>
      <c r="T87" s="53"/>
      <c r="U87" s="54" t="str">
        <f>IFERROR(VLOOKUP(June[[#This Row],[Drug Name2]],'Data Options'!$R$1:$S$100,2,FALSE), " ")</f>
        <v xml:space="preserve"> </v>
      </c>
      <c r="V87" s="32"/>
      <c r="W87" s="32"/>
      <c r="X87" s="53"/>
      <c r="Y87" s="54" t="str">
        <f>IFERROR(VLOOKUP(June[[#This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54" t="str">
        <f>IFERROR(VLOOKUP(June[[#This Row],[Drug Name4]],'Data Options'!$R$1:$S$100,2,FALSE), " ")</f>
        <v xml:space="preserve"> </v>
      </c>
      <c r="AI87" s="32"/>
      <c r="AJ87" s="32"/>
      <c r="AK87" s="53"/>
      <c r="AL87" s="54" t="str">
        <f>IFERROR(VLOOKUP(June[[#This Row],[Drug Name5]],'Data Options'!$R$1:$S$100,2,FALSE), " ")</f>
        <v xml:space="preserve"> </v>
      </c>
      <c r="AM87" s="32"/>
      <c r="AN87" s="32"/>
      <c r="AO87" s="53"/>
      <c r="AP87" s="54" t="str">
        <f>IFERROR(VLOOKUP(June[[#This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54" t="str">
        <f>IFERROR(VLOOKUP(June[[#This Row],[Drug Name7]],'Data Options'!$R$1:$S$100,2,FALSE), " ")</f>
        <v xml:space="preserve"> </v>
      </c>
      <c r="AZ87" s="32"/>
      <c r="BA87" s="32"/>
      <c r="BB87" s="53"/>
      <c r="BC87" s="54" t="str">
        <f>IFERROR(VLOOKUP(June[[#This Row],[Drug Name8]],'Data Options'!$R$1:$S$100,2,FALSE), " ")</f>
        <v xml:space="preserve"> </v>
      </c>
      <c r="BD87" s="32"/>
      <c r="BE87" s="32"/>
      <c r="BF87" s="53"/>
      <c r="BG87" s="54" t="str">
        <f>IFERROR(VLOOKUP(June[[#This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54" t="str">
        <f>IFERROR(VLOOKUP(June[[#This Row],[Drug Name]],'Data Options'!$R$1:$S$100,2,FALSE), " ")</f>
        <v xml:space="preserve"> </v>
      </c>
      <c r="R88" s="32"/>
      <c r="S88" s="32"/>
      <c r="T88" s="53"/>
      <c r="U88" s="54" t="str">
        <f>IFERROR(VLOOKUP(June[[#This Row],[Drug Name2]],'Data Options'!$R$1:$S$100,2,FALSE), " ")</f>
        <v xml:space="preserve"> </v>
      </c>
      <c r="V88" s="32"/>
      <c r="W88" s="32"/>
      <c r="X88" s="53"/>
      <c r="Y88" s="54" t="str">
        <f>IFERROR(VLOOKUP(June[[#This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54" t="str">
        <f>IFERROR(VLOOKUP(June[[#This Row],[Drug Name4]],'Data Options'!$R$1:$S$100,2,FALSE), " ")</f>
        <v xml:space="preserve"> </v>
      </c>
      <c r="AI88" s="32"/>
      <c r="AJ88" s="32"/>
      <c r="AK88" s="53"/>
      <c r="AL88" s="54" t="str">
        <f>IFERROR(VLOOKUP(June[[#This Row],[Drug Name5]],'Data Options'!$R$1:$S$100,2,FALSE), " ")</f>
        <v xml:space="preserve"> </v>
      </c>
      <c r="AM88" s="32"/>
      <c r="AN88" s="32"/>
      <c r="AO88" s="53"/>
      <c r="AP88" s="54" t="str">
        <f>IFERROR(VLOOKUP(June[[#This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54" t="str">
        <f>IFERROR(VLOOKUP(June[[#This Row],[Drug Name7]],'Data Options'!$R$1:$S$100,2,FALSE), " ")</f>
        <v xml:space="preserve"> </v>
      </c>
      <c r="AZ88" s="32"/>
      <c r="BA88" s="32"/>
      <c r="BB88" s="53"/>
      <c r="BC88" s="54" t="str">
        <f>IFERROR(VLOOKUP(June[[#This Row],[Drug Name8]],'Data Options'!$R$1:$S$100,2,FALSE), " ")</f>
        <v xml:space="preserve"> </v>
      </c>
      <c r="BD88" s="32"/>
      <c r="BE88" s="32"/>
      <c r="BF88" s="53"/>
      <c r="BG88" s="54" t="str">
        <f>IFERROR(VLOOKUP(June[[#This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54" t="str">
        <f>IFERROR(VLOOKUP(June[[#This Row],[Drug Name]],'Data Options'!$R$1:$S$100,2,FALSE), " ")</f>
        <v xml:space="preserve"> </v>
      </c>
      <c r="R89" s="32"/>
      <c r="S89" s="32"/>
      <c r="T89" s="53"/>
      <c r="U89" s="54" t="str">
        <f>IFERROR(VLOOKUP(June[[#This Row],[Drug Name2]],'Data Options'!$R$1:$S$100,2,FALSE), " ")</f>
        <v xml:space="preserve"> </v>
      </c>
      <c r="V89" s="32"/>
      <c r="W89" s="32"/>
      <c r="X89" s="53"/>
      <c r="Y89" s="54" t="str">
        <f>IFERROR(VLOOKUP(June[[#This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54" t="str">
        <f>IFERROR(VLOOKUP(June[[#This Row],[Drug Name4]],'Data Options'!$R$1:$S$100,2,FALSE), " ")</f>
        <v xml:space="preserve"> </v>
      </c>
      <c r="AI89" s="32"/>
      <c r="AJ89" s="32"/>
      <c r="AK89" s="53"/>
      <c r="AL89" s="54" t="str">
        <f>IFERROR(VLOOKUP(June[[#This Row],[Drug Name5]],'Data Options'!$R$1:$S$100,2,FALSE), " ")</f>
        <v xml:space="preserve"> </v>
      </c>
      <c r="AM89" s="32"/>
      <c r="AN89" s="32"/>
      <c r="AO89" s="53"/>
      <c r="AP89" s="54" t="str">
        <f>IFERROR(VLOOKUP(June[[#This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54" t="str">
        <f>IFERROR(VLOOKUP(June[[#This Row],[Drug Name7]],'Data Options'!$R$1:$S$100,2,FALSE), " ")</f>
        <v xml:space="preserve"> </v>
      </c>
      <c r="AZ89" s="32"/>
      <c r="BA89" s="32"/>
      <c r="BB89" s="53"/>
      <c r="BC89" s="54" t="str">
        <f>IFERROR(VLOOKUP(June[[#This Row],[Drug Name8]],'Data Options'!$R$1:$S$100,2,FALSE), " ")</f>
        <v xml:space="preserve"> </v>
      </c>
      <c r="BD89" s="32"/>
      <c r="BE89" s="32"/>
      <c r="BF89" s="53"/>
      <c r="BG89" s="54" t="str">
        <f>IFERROR(VLOOKUP(June[[#This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54" t="str">
        <f>IFERROR(VLOOKUP(June[[#This Row],[Drug Name]],'Data Options'!$R$1:$S$100,2,FALSE), " ")</f>
        <v xml:space="preserve"> </v>
      </c>
      <c r="R90" s="32"/>
      <c r="S90" s="32"/>
      <c r="T90" s="53"/>
      <c r="U90" s="54" t="str">
        <f>IFERROR(VLOOKUP(June[[#This Row],[Drug Name2]],'Data Options'!$R$1:$S$100,2,FALSE), " ")</f>
        <v xml:space="preserve"> </v>
      </c>
      <c r="V90" s="32"/>
      <c r="W90" s="32"/>
      <c r="X90" s="53"/>
      <c r="Y90" s="54" t="str">
        <f>IFERROR(VLOOKUP(June[[#This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54" t="str">
        <f>IFERROR(VLOOKUP(June[[#This Row],[Drug Name4]],'Data Options'!$R$1:$S$100,2,FALSE), " ")</f>
        <v xml:space="preserve"> </v>
      </c>
      <c r="AI90" s="32"/>
      <c r="AJ90" s="32"/>
      <c r="AK90" s="53"/>
      <c r="AL90" s="54" t="str">
        <f>IFERROR(VLOOKUP(June[[#This Row],[Drug Name5]],'Data Options'!$R$1:$S$100,2,FALSE), " ")</f>
        <v xml:space="preserve"> </v>
      </c>
      <c r="AM90" s="32"/>
      <c r="AN90" s="32"/>
      <c r="AO90" s="53"/>
      <c r="AP90" s="54" t="str">
        <f>IFERROR(VLOOKUP(June[[#This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54" t="str">
        <f>IFERROR(VLOOKUP(June[[#This Row],[Drug Name7]],'Data Options'!$R$1:$S$100,2,FALSE), " ")</f>
        <v xml:space="preserve"> </v>
      </c>
      <c r="AZ90" s="32"/>
      <c r="BA90" s="32"/>
      <c r="BB90" s="53"/>
      <c r="BC90" s="54" t="str">
        <f>IFERROR(VLOOKUP(June[[#This Row],[Drug Name8]],'Data Options'!$R$1:$S$100,2,FALSE), " ")</f>
        <v xml:space="preserve"> </v>
      </c>
      <c r="BD90" s="32"/>
      <c r="BE90" s="32"/>
      <c r="BF90" s="53"/>
      <c r="BG90" s="54" t="str">
        <f>IFERROR(VLOOKUP(June[[#This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54" t="str">
        <f>IFERROR(VLOOKUP(June[[#This Row],[Drug Name]],'Data Options'!$R$1:$S$100,2,FALSE), " ")</f>
        <v xml:space="preserve"> </v>
      </c>
      <c r="R91" s="32"/>
      <c r="S91" s="32"/>
      <c r="T91" s="53"/>
      <c r="U91" s="54" t="str">
        <f>IFERROR(VLOOKUP(June[[#This Row],[Drug Name2]],'Data Options'!$R$1:$S$100,2,FALSE), " ")</f>
        <v xml:space="preserve"> </v>
      </c>
      <c r="V91" s="32"/>
      <c r="W91" s="32"/>
      <c r="X91" s="53"/>
      <c r="Y91" s="54" t="str">
        <f>IFERROR(VLOOKUP(June[[#This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54" t="str">
        <f>IFERROR(VLOOKUP(June[[#This Row],[Drug Name4]],'Data Options'!$R$1:$S$100,2,FALSE), " ")</f>
        <v xml:space="preserve"> </v>
      </c>
      <c r="AI91" s="32"/>
      <c r="AJ91" s="32"/>
      <c r="AK91" s="53"/>
      <c r="AL91" s="54" t="str">
        <f>IFERROR(VLOOKUP(June[[#This Row],[Drug Name5]],'Data Options'!$R$1:$S$100,2,FALSE), " ")</f>
        <v xml:space="preserve"> </v>
      </c>
      <c r="AM91" s="32"/>
      <c r="AN91" s="32"/>
      <c r="AO91" s="53"/>
      <c r="AP91" s="54" t="str">
        <f>IFERROR(VLOOKUP(June[[#This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54" t="str">
        <f>IFERROR(VLOOKUP(June[[#This Row],[Drug Name7]],'Data Options'!$R$1:$S$100,2,FALSE), " ")</f>
        <v xml:space="preserve"> </v>
      </c>
      <c r="AZ91" s="32"/>
      <c r="BA91" s="32"/>
      <c r="BB91" s="53"/>
      <c r="BC91" s="54" t="str">
        <f>IFERROR(VLOOKUP(June[[#This Row],[Drug Name8]],'Data Options'!$R$1:$S$100,2,FALSE), " ")</f>
        <v xml:space="preserve"> </v>
      </c>
      <c r="BD91" s="32"/>
      <c r="BE91" s="32"/>
      <c r="BF91" s="53"/>
      <c r="BG91" s="54" t="str">
        <f>IFERROR(VLOOKUP(June[[#This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54" t="str">
        <f>IFERROR(VLOOKUP(June[[#This Row],[Drug Name]],'Data Options'!$R$1:$S$100,2,FALSE), " ")</f>
        <v xml:space="preserve"> </v>
      </c>
      <c r="R92" s="32"/>
      <c r="S92" s="32"/>
      <c r="T92" s="53"/>
      <c r="U92" s="54" t="str">
        <f>IFERROR(VLOOKUP(June[[#This Row],[Drug Name2]],'Data Options'!$R$1:$S$100,2,FALSE), " ")</f>
        <v xml:space="preserve"> </v>
      </c>
      <c r="V92" s="32"/>
      <c r="W92" s="32"/>
      <c r="X92" s="53"/>
      <c r="Y92" s="54" t="str">
        <f>IFERROR(VLOOKUP(June[[#This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54" t="str">
        <f>IFERROR(VLOOKUP(June[[#This Row],[Drug Name4]],'Data Options'!$R$1:$S$100,2,FALSE), " ")</f>
        <v xml:space="preserve"> </v>
      </c>
      <c r="AI92" s="32"/>
      <c r="AJ92" s="32"/>
      <c r="AK92" s="53"/>
      <c r="AL92" s="54" t="str">
        <f>IFERROR(VLOOKUP(June[[#This Row],[Drug Name5]],'Data Options'!$R$1:$S$100,2,FALSE), " ")</f>
        <v xml:space="preserve"> </v>
      </c>
      <c r="AM92" s="32"/>
      <c r="AN92" s="32"/>
      <c r="AO92" s="53"/>
      <c r="AP92" s="54" t="str">
        <f>IFERROR(VLOOKUP(June[[#This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54" t="str">
        <f>IFERROR(VLOOKUP(June[[#This Row],[Drug Name7]],'Data Options'!$R$1:$S$100,2,FALSE), " ")</f>
        <v xml:space="preserve"> </v>
      </c>
      <c r="AZ92" s="32"/>
      <c r="BA92" s="32"/>
      <c r="BB92" s="53"/>
      <c r="BC92" s="54" t="str">
        <f>IFERROR(VLOOKUP(June[[#This Row],[Drug Name8]],'Data Options'!$R$1:$S$100,2,FALSE), " ")</f>
        <v xml:space="preserve"> </v>
      </c>
      <c r="BD92" s="32"/>
      <c r="BE92" s="32"/>
      <c r="BF92" s="53"/>
      <c r="BG92" s="54" t="str">
        <f>IFERROR(VLOOKUP(June[[#This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54" t="str">
        <f>IFERROR(VLOOKUP(June[[#This Row],[Drug Name]],'Data Options'!$R$1:$S$100,2,FALSE), " ")</f>
        <v xml:space="preserve"> </v>
      </c>
      <c r="R93" s="32"/>
      <c r="S93" s="32"/>
      <c r="T93" s="53"/>
      <c r="U93" s="54" t="str">
        <f>IFERROR(VLOOKUP(June[[#This Row],[Drug Name2]],'Data Options'!$R$1:$S$100,2,FALSE), " ")</f>
        <v xml:space="preserve"> </v>
      </c>
      <c r="V93" s="32"/>
      <c r="W93" s="32"/>
      <c r="X93" s="53"/>
      <c r="Y93" s="54" t="str">
        <f>IFERROR(VLOOKUP(June[[#This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54" t="str">
        <f>IFERROR(VLOOKUP(June[[#This Row],[Drug Name4]],'Data Options'!$R$1:$S$100,2,FALSE), " ")</f>
        <v xml:space="preserve"> </v>
      </c>
      <c r="AI93" s="32"/>
      <c r="AJ93" s="32"/>
      <c r="AK93" s="53"/>
      <c r="AL93" s="54" t="str">
        <f>IFERROR(VLOOKUP(June[[#This Row],[Drug Name5]],'Data Options'!$R$1:$S$100,2,FALSE), " ")</f>
        <v xml:space="preserve"> </v>
      </c>
      <c r="AM93" s="32"/>
      <c r="AN93" s="32"/>
      <c r="AO93" s="53"/>
      <c r="AP93" s="54" t="str">
        <f>IFERROR(VLOOKUP(June[[#This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54" t="str">
        <f>IFERROR(VLOOKUP(June[[#This Row],[Drug Name7]],'Data Options'!$R$1:$S$100,2,FALSE), " ")</f>
        <v xml:space="preserve"> </v>
      </c>
      <c r="AZ93" s="32"/>
      <c r="BA93" s="32"/>
      <c r="BB93" s="53"/>
      <c r="BC93" s="54" t="str">
        <f>IFERROR(VLOOKUP(June[[#This Row],[Drug Name8]],'Data Options'!$R$1:$S$100,2,FALSE), " ")</f>
        <v xml:space="preserve"> </v>
      </c>
      <c r="BD93" s="32"/>
      <c r="BE93" s="32"/>
      <c r="BF93" s="53"/>
      <c r="BG93" s="54" t="str">
        <f>IFERROR(VLOOKUP(June[[#This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54" t="str">
        <f>IFERROR(VLOOKUP(June[[#This Row],[Drug Name]],'Data Options'!$R$1:$S$100,2,FALSE), " ")</f>
        <v xml:space="preserve"> </v>
      </c>
      <c r="R94" s="32"/>
      <c r="S94" s="32"/>
      <c r="T94" s="53"/>
      <c r="U94" s="54" t="str">
        <f>IFERROR(VLOOKUP(June[[#This Row],[Drug Name2]],'Data Options'!$R$1:$S$100,2,FALSE), " ")</f>
        <v xml:space="preserve"> </v>
      </c>
      <c r="V94" s="32"/>
      <c r="W94" s="32"/>
      <c r="X94" s="53"/>
      <c r="Y94" s="54" t="str">
        <f>IFERROR(VLOOKUP(June[[#This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54" t="str">
        <f>IFERROR(VLOOKUP(June[[#This Row],[Drug Name4]],'Data Options'!$R$1:$S$100,2,FALSE), " ")</f>
        <v xml:space="preserve"> </v>
      </c>
      <c r="AI94" s="32"/>
      <c r="AJ94" s="32"/>
      <c r="AK94" s="53"/>
      <c r="AL94" s="54" t="str">
        <f>IFERROR(VLOOKUP(June[[#This Row],[Drug Name5]],'Data Options'!$R$1:$S$100,2,FALSE), " ")</f>
        <v xml:space="preserve"> </v>
      </c>
      <c r="AM94" s="32"/>
      <c r="AN94" s="32"/>
      <c r="AO94" s="53"/>
      <c r="AP94" s="54" t="str">
        <f>IFERROR(VLOOKUP(June[[#This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54" t="str">
        <f>IFERROR(VLOOKUP(June[[#This Row],[Drug Name7]],'Data Options'!$R$1:$S$100,2,FALSE), " ")</f>
        <v xml:space="preserve"> </v>
      </c>
      <c r="AZ94" s="32"/>
      <c r="BA94" s="32"/>
      <c r="BB94" s="53"/>
      <c r="BC94" s="54" t="str">
        <f>IFERROR(VLOOKUP(June[[#This Row],[Drug Name8]],'Data Options'!$R$1:$S$100,2,FALSE), " ")</f>
        <v xml:space="preserve"> </v>
      </c>
      <c r="BD94" s="32"/>
      <c r="BE94" s="32"/>
      <c r="BF94" s="53"/>
      <c r="BG94" s="54" t="str">
        <f>IFERROR(VLOOKUP(June[[#This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54" t="str">
        <f>IFERROR(VLOOKUP(June[[#This Row],[Drug Name]],'Data Options'!$R$1:$S$100,2,FALSE), " ")</f>
        <v xml:space="preserve"> </v>
      </c>
      <c r="R95" s="32"/>
      <c r="S95" s="32"/>
      <c r="T95" s="53"/>
      <c r="U95" s="54" t="str">
        <f>IFERROR(VLOOKUP(June[[#This Row],[Drug Name2]],'Data Options'!$R$1:$S$100,2,FALSE), " ")</f>
        <v xml:space="preserve"> </v>
      </c>
      <c r="V95" s="32"/>
      <c r="W95" s="32"/>
      <c r="X95" s="53"/>
      <c r="Y95" s="54" t="str">
        <f>IFERROR(VLOOKUP(June[[#This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54" t="str">
        <f>IFERROR(VLOOKUP(June[[#This Row],[Drug Name4]],'Data Options'!$R$1:$S$100,2,FALSE), " ")</f>
        <v xml:space="preserve"> </v>
      </c>
      <c r="AI95" s="32"/>
      <c r="AJ95" s="32"/>
      <c r="AK95" s="53"/>
      <c r="AL95" s="54" t="str">
        <f>IFERROR(VLOOKUP(June[[#This Row],[Drug Name5]],'Data Options'!$R$1:$S$100,2,FALSE), " ")</f>
        <v xml:space="preserve"> </v>
      </c>
      <c r="AM95" s="32"/>
      <c r="AN95" s="32"/>
      <c r="AO95" s="53"/>
      <c r="AP95" s="54" t="str">
        <f>IFERROR(VLOOKUP(June[[#This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54" t="str">
        <f>IFERROR(VLOOKUP(June[[#This Row],[Drug Name7]],'Data Options'!$R$1:$S$100,2,FALSE), " ")</f>
        <v xml:space="preserve"> </v>
      </c>
      <c r="AZ95" s="32"/>
      <c r="BA95" s="32"/>
      <c r="BB95" s="53"/>
      <c r="BC95" s="54" t="str">
        <f>IFERROR(VLOOKUP(June[[#This Row],[Drug Name8]],'Data Options'!$R$1:$S$100,2,FALSE), " ")</f>
        <v xml:space="preserve"> </v>
      </c>
      <c r="BD95" s="32"/>
      <c r="BE95" s="32"/>
      <c r="BF95" s="53"/>
      <c r="BG95" s="54" t="str">
        <f>IFERROR(VLOOKUP(June[[#This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54" t="str">
        <f>IFERROR(VLOOKUP(June[[#This Row],[Drug Name]],'Data Options'!$R$1:$S$100,2,FALSE), " ")</f>
        <v xml:space="preserve"> </v>
      </c>
      <c r="R96" s="32"/>
      <c r="S96" s="32"/>
      <c r="T96" s="53"/>
      <c r="U96" s="54" t="str">
        <f>IFERROR(VLOOKUP(June[[#This Row],[Drug Name2]],'Data Options'!$R$1:$S$100,2,FALSE), " ")</f>
        <v xml:space="preserve"> </v>
      </c>
      <c r="V96" s="32"/>
      <c r="W96" s="32"/>
      <c r="X96" s="53"/>
      <c r="Y96" s="54" t="str">
        <f>IFERROR(VLOOKUP(June[[#This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54" t="str">
        <f>IFERROR(VLOOKUP(June[[#This Row],[Drug Name4]],'Data Options'!$R$1:$S$100,2,FALSE), " ")</f>
        <v xml:space="preserve"> </v>
      </c>
      <c r="AI96" s="32"/>
      <c r="AJ96" s="32"/>
      <c r="AK96" s="53"/>
      <c r="AL96" s="54" t="str">
        <f>IFERROR(VLOOKUP(June[[#This Row],[Drug Name5]],'Data Options'!$R$1:$S$100,2,FALSE), " ")</f>
        <v xml:space="preserve"> </v>
      </c>
      <c r="AM96" s="32"/>
      <c r="AN96" s="32"/>
      <c r="AO96" s="53"/>
      <c r="AP96" s="54" t="str">
        <f>IFERROR(VLOOKUP(June[[#This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54" t="str">
        <f>IFERROR(VLOOKUP(June[[#This Row],[Drug Name7]],'Data Options'!$R$1:$S$100,2,FALSE), " ")</f>
        <v xml:space="preserve"> </v>
      </c>
      <c r="AZ96" s="32"/>
      <c r="BA96" s="32"/>
      <c r="BB96" s="53"/>
      <c r="BC96" s="54" t="str">
        <f>IFERROR(VLOOKUP(June[[#This Row],[Drug Name8]],'Data Options'!$R$1:$S$100,2,FALSE), " ")</f>
        <v xml:space="preserve"> </v>
      </c>
      <c r="BD96" s="32"/>
      <c r="BE96" s="32"/>
      <c r="BF96" s="53"/>
      <c r="BG96" s="54" t="str">
        <f>IFERROR(VLOOKUP(June[[#This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54" t="str">
        <f>IFERROR(VLOOKUP(June[[#This Row],[Drug Name]],'Data Options'!$R$1:$S$100,2,FALSE), " ")</f>
        <v xml:space="preserve"> </v>
      </c>
      <c r="R97" s="32"/>
      <c r="S97" s="32"/>
      <c r="T97" s="53"/>
      <c r="U97" s="54" t="str">
        <f>IFERROR(VLOOKUP(June[[#This Row],[Drug Name2]],'Data Options'!$R$1:$S$100,2,FALSE), " ")</f>
        <v xml:space="preserve"> </v>
      </c>
      <c r="V97" s="32"/>
      <c r="W97" s="32"/>
      <c r="X97" s="53"/>
      <c r="Y97" s="54" t="str">
        <f>IFERROR(VLOOKUP(June[[#This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54" t="str">
        <f>IFERROR(VLOOKUP(June[[#This Row],[Drug Name4]],'Data Options'!$R$1:$S$100,2,FALSE), " ")</f>
        <v xml:space="preserve"> </v>
      </c>
      <c r="AI97" s="32"/>
      <c r="AJ97" s="32"/>
      <c r="AK97" s="53"/>
      <c r="AL97" s="54" t="str">
        <f>IFERROR(VLOOKUP(June[[#This Row],[Drug Name5]],'Data Options'!$R$1:$S$100,2,FALSE), " ")</f>
        <v xml:space="preserve"> </v>
      </c>
      <c r="AM97" s="32"/>
      <c r="AN97" s="32"/>
      <c r="AO97" s="53"/>
      <c r="AP97" s="54" t="str">
        <f>IFERROR(VLOOKUP(June[[#This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54" t="str">
        <f>IFERROR(VLOOKUP(June[[#This Row],[Drug Name7]],'Data Options'!$R$1:$S$100,2,FALSE), " ")</f>
        <v xml:space="preserve"> </v>
      </c>
      <c r="AZ97" s="32"/>
      <c r="BA97" s="32"/>
      <c r="BB97" s="53"/>
      <c r="BC97" s="54" t="str">
        <f>IFERROR(VLOOKUP(June[[#This Row],[Drug Name8]],'Data Options'!$R$1:$S$100,2,FALSE), " ")</f>
        <v xml:space="preserve"> </v>
      </c>
      <c r="BD97" s="32"/>
      <c r="BE97" s="32"/>
      <c r="BF97" s="53"/>
      <c r="BG97" s="54" t="str">
        <f>IFERROR(VLOOKUP(June[[#This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54" t="str">
        <f>IFERROR(VLOOKUP(June[[#This Row],[Drug Name]],'Data Options'!$R$1:$S$100,2,FALSE), " ")</f>
        <v xml:space="preserve"> </v>
      </c>
      <c r="R98" s="32"/>
      <c r="S98" s="32"/>
      <c r="T98" s="53"/>
      <c r="U98" s="54" t="str">
        <f>IFERROR(VLOOKUP(June[[#This Row],[Drug Name2]],'Data Options'!$R$1:$S$100,2,FALSE), " ")</f>
        <v xml:space="preserve"> </v>
      </c>
      <c r="V98" s="32"/>
      <c r="W98" s="32"/>
      <c r="X98" s="53"/>
      <c r="Y98" s="54" t="str">
        <f>IFERROR(VLOOKUP(June[[#This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54" t="str">
        <f>IFERROR(VLOOKUP(June[[#This Row],[Drug Name4]],'Data Options'!$R$1:$S$100,2,FALSE), " ")</f>
        <v xml:space="preserve"> </v>
      </c>
      <c r="AI98" s="32"/>
      <c r="AJ98" s="32"/>
      <c r="AK98" s="53"/>
      <c r="AL98" s="54" t="str">
        <f>IFERROR(VLOOKUP(June[[#This Row],[Drug Name5]],'Data Options'!$R$1:$S$100,2,FALSE), " ")</f>
        <v xml:space="preserve"> </v>
      </c>
      <c r="AM98" s="32"/>
      <c r="AN98" s="32"/>
      <c r="AO98" s="53"/>
      <c r="AP98" s="54" t="str">
        <f>IFERROR(VLOOKUP(June[[#This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54" t="str">
        <f>IFERROR(VLOOKUP(June[[#This Row],[Drug Name7]],'Data Options'!$R$1:$S$100,2,FALSE), " ")</f>
        <v xml:space="preserve"> </v>
      </c>
      <c r="AZ98" s="32"/>
      <c r="BA98" s="32"/>
      <c r="BB98" s="53"/>
      <c r="BC98" s="54" t="str">
        <f>IFERROR(VLOOKUP(June[[#This Row],[Drug Name8]],'Data Options'!$R$1:$S$100,2,FALSE), " ")</f>
        <v xml:space="preserve"> </v>
      </c>
      <c r="BD98" s="32"/>
      <c r="BE98" s="32"/>
      <c r="BF98" s="53"/>
      <c r="BG98" s="54" t="str">
        <f>IFERROR(VLOOKUP(June[[#This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54" t="str">
        <f>IFERROR(VLOOKUP(June[[#This Row],[Drug Name]],'Data Options'!$R$1:$S$100,2,FALSE), " ")</f>
        <v xml:space="preserve"> </v>
      </c>
      <c r="R99" s="32"/>
      <c r="S99" s="32"/>
      <c r="T99" s="53"/>
      <c r="U99" s="54" t="str">
        <f>IFERROR(VLOOKUP(June[[#This Row],[Drug Name2]],'Data Options'!$R$1:$S$100,2,FALSE), " ")</f>
        <v xml:space="preserve"> </v>
      </c>
      <c r="V99" s="32"/>
      <c r="W99" s="32"/>
      <c r="X99" s="53"/>
      <c r="Y99" s="54" t="str">
        <f>IFERROR(VLOOKUP(June[[#This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54" t="str">
        <f>IFERROR(VLOOKUP(June[[#This Row],[Drug Name4]],'Data Options'!$R$1:$S$100,2,FALSE), " ")</f>
        <v xml:space="preserve"> </v>
      </c>
      <c r="AI99" s="32"/>
      <c r="AJ99" s="32"/>
      <c r="AK99" s="53"/>
      <c r="AL99" s="54" t="str">
        <f>IFERROR(VLOOKUP(June[[#This Row],[Drug Name5]],'Data Options'!$R$1:$S$100,2,FALSE), " ")</f>
        <v xml:space="preserve"> </v>
      </c>
      <c r="AM99" s="32"/>
      <c r="AN99" s="32"/>
      <c r="AO99" s="53"/>
      <c r="AP99" s="54" t="str">
        <f>IFERROR(VLOOKUP(June[[#This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54" t="str">
        <f>IFERROR(VLOOKUP(June[[#This Row],[Drug Name7]],'Data Options'!$R$1:$S$100,2,FALSE), " ")</f>
        <v xml:space="preserve"> </v>
      </c>
      <c r="AZ99" s="32"/>
      <c r="BA99" s="32"/>
      <c r="BB99" s="53"/>
      <c r="BC99" s="54" t="str">
        <f>IFERROR(VLOOKUP(June[[#This Row],[Drug Name8]],'Data Options'!$R$1:$S$100,2,FALSE), " ")</f>
        <v xml:space="preserve"> </v>
      </c>
      <c r="BD99" s="32"/>
      <c r="BE99" s="32"/>
      <c r="BF99" s="53"/>
      <c r="BG99" s="54" t="str">
        <f>IFERROR(VLOOKUP(June[[#This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54" t="str">
        <f>IFERROR(VLOOKUP(June[[#This Row],[Drug Name]],'Data Options'!$R$1:$S$100,2,FALSE), " ")</f>
        <v xml:space="preserve"> </v>
      </c>
      <c r="R100" s="32"/>
      <c r="S100" s="32"/>
      <c r="T100" s="53"/>
      <c r="U100" s="54" t="str">
        <f>IFERROR(VLOOKUP(June[[#This Row],[Drug Name2]],'Data Options'!$R$1:$S$100,2,FALSE), " ")</f>
        <v xml:space="preserve"> </v>
      </c>
      <c r="V100" s="32"/>
      <c r="W100" s="32"/>
      <c r="X100" s="53"/>
      <c r="Y100" s="54" t="str">
        <f>IFERROR(VLOOKUP(June[[#This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54" t="str">
        <f>IFERROR(VLOOKUP(June[[#This Row],[Drug Name4]],'Data Options'!$R$1:$S$100,2,FALSE), " ")</f>
        <v xml:space="preserve"> </v>
      </c>
      <c r="AI100" s="32"/>
      <c r="AJ100" s="32"/>
      <c r="AK100" s="53"/>
      <c r="AL100" s="54" t="str">
        <f>IFERROR(VLOOKUP(June[[#This Row],[Drug Name5]],'Data Options'!$R$1:$S$100,2,FALSE), " ")</f>
        <v xml:space="preserve"> </v>
      </c>
      <c r="AM100" s="32"/>
      <c r="AN100" s="32"/>
      <c r="AO100" s="53"/>
      <c r="AP100" s="54" t="str">
        <f>IFERROR(VLOOKUP(June[[#This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54" t="str">
        <f>IFERROR(VLOOKUP(June[[#This Row],[Drug Name7]],'Data Options'!$R$1:$S$100,2,FALSE), " ")</f>
        <v xml:space="preserve"> </v>
      </c>
      <c r="AZ100" s="32"/>
      <c r="BA100" s="32"/>
      <c r="BB100" s="53"/>
      <c r="BC100" s="54" t="str">
        <f>IFERROR(VLOOKUP(June[[#This Row],[Drug Name8]],'Data Options'!$R$1:$S$100,2,FALSE), " ")</f>
        <v xml:space="preserve"> </v>
      </c>
      <c r="BD100" s="32"/>
      <c r="BE100" s="32"/>
      <c r="BF100" s="53"/>
      <c r="BG100" s="54" t="str">
        <f>IFERROR(VLOOKUP(June[[#This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54" t="str">
        <f>IFERROR(VLOOKUP(June[[#This Row],[Drug Name]],'Data Options'!$R$1:$S$100,2,FALSE), " ")</f>
        <v xml:space="preserve"> </v>
      </c>
      <c r="R101" s="32"/>
      <c r="S101" s="32"/>
      <c r="T101" s="53"/>
      <c r="U101" s="54" t="str">
        <f>IFERROR(VLOOKUP(June[[#This Row],[Drug Name2]],'Data Options'!$R$1:$S$100,2,FALSE), " ")</f>
        <v xml:space="preserve"> </v>
      </c>
      <c r="V101" s="32"/>
      <c r="W101" s="32"/>
      <c r="X101" s="53"/>
      <c r="Y101" s="54" t="str">
        <f>IFERROR(VLOOKUP(June[[#This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54" t="str">
        <f>IFERROR(VLOOKUP(June[[#This Row],[Drug Name4]],'Data Options'!$R$1:$S$100,2,FALSE), " ")</f>
        <v xml:space="preserve"> </v>
      </c>
      <c r="AI101" s="32"/>
      <c r="AJ101" s="32"/>
      <c r="AK101" s="53"/>
      <c r="AL101" s="54" t="str">
        <f>IFERROR(VLOOKUP(June[[#This Row],[Drug Name5]],'Data Options'!$R$1:$S$100,2,FALSE), " ")</f>
        <v xml:space="preserve"> </v>
      </c>
      <c r="AM101" s="32"/>
      <c r="AN101" s="32"/>
      <c r="AO101" s="53"/>
      <c r="AP101" s="54" t="str">
        <f>IFERROR(VLOOKUP(June[[#This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54" t="str">
        <f>IFERROR(VLOOKUP(June[[#This Row],[Drug Name7]],'Data Options'!$R$1:$S$100,2,FALSE), " ")</f>
        <v xml:space="preserve"> </v>
      </c>
      <c r="AZ101" s="32"/>
      <c r="BA101" s="32"/>
      <c r="BB101" s="53"/>
      <c r="BC101" s="54" t="str">
        <f>IFERROR(VLOOKUP(June[[#This Row],[Drug Name8]],'Data Options'!$R$1:$S$100,2,FALSE), " ")</f>
        <v xml:space="preserve"> </v>
      </c>
      <c r="BD101" s="32"/>
      <c r="BE101" s="32"/>
      <c r="BF101" s="53"/>
      <c r="BG101" s="54" t="str">
        <f>IFERROR(VLOOKUP(June[[#This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54" t="str">
        <f>IFERROR(VLOOKUP(June[[#This Row],[Drug Name]],'Data Options'!$R$1:$S$100,2,FALSE), " ")</f>
        <v xml:space="preserve"> </v>
      </c>
      <c r="R102" s="32"/>
      <c r="S102" s="32"/>
      <c r="T102" s="53"/>
      <c r="U102" s="54" t="str">
        <f>IFERROR(VLOOKUP(June[[#This Row],[Drug Name2]],'Data Options'!$R$1:$S$100,2,FALSE), " ")</f>
        <v xml:space="preserve"> </v>
      </c>
      <c r="V102" s="32"/>
      <c r="W102" s="32"/>
      <c r="X102" s="53"/>
      <c r="Y102" s="54" t="str">
        <f>IFERROR(VLOOKUP(June[[#This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54" t="str">
        <f>IFERROR(VLOOKUP(June[[#This Row],[Drug Name4]],'Data Options'!$R$1:$S$100,2,FALSE), " ")</f>
        <v xml:space="preserve"> </v>
      </c>
      <c r="AI102" s="32"/>
      <c r="AJ102" s="32"/>
      <c r="AK102" s="53"/>
      <c r="AL102" s="54" t="str">
        <f>IFERROR(VLOOKUP(June[[#This Row],[Drug Name5]],'Data Options'!$R$1:$S$100,2,FALSE), " ")</f>
        <v xml:space="preserve"> </v>
      </c>
      <c r="AM102" s="32"/>
      <c r="AN102" s="32"/>
      <c r="AO102" s="53"/>
      <c r="AP102" s="54" t="str">
        <f>IFERROR(VLOOKUP(June[[#This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54" t="str">
        <f>IFERROR(VLOOKUP(June[[#This Row],[Drug Name7]],'Data Options'!$R$1:$S$100,2,FALSE), " ")</f>
        <v xml:space="preserve"> </v>
      </c>
      <c r="AZ102" s="32"/>
      <c r="BA102" s="32"/>
      <c r="BB102" s="53"/>
      <c r="BC102" s="54" t="str">
        <f>IFERROR(VLOOKUP(June[[#This Row],[Drug Name8]],'Data Options'!$R$1:$S$100,2,FALSE), " ")</f>
        <v xml:space="preserve"> </v>
      </c>
      <c r="BD102" s="32"/>
      <c r="BE102" s="32"/>
      <c r="BF102" s="53"/>
      <c r="BG102" s="54" t="str">
        <f>IFERROR(VLOOKUP(June[[#This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54" t="str">
        <f>IFERROR(VLOOKUP(June[[#This Row],[Drug Name]],'Data Options'!$R$1:$S$100,2,FALSE), " ")</f>
        <v xml:space="preserve"> </v>
      </c>
      <c r="R103" s="32"/>
      <c r="S103" s="32"/>
      <c r="T103" s="53"/>
      <c r="U103" s="54" t="str">
        <f>IFERROR(VLOOKUP(June[[#This Row],[Drug Name2]],'Data Options'!$R$1:$S$100,2,FALSE), " ")</f>
        <v xml:space="preserve"> </v>
      </c>
      <c r="V103" s="32"/>
      <c r="W103" s="32"/>
      <c r="X103" s="53"/>
      <c r="Y103" s="54" t="str">
        <f>IFERROR(VLOOKUP(June[[#This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54" t="str">
        <f>IFERROR(VLOOKUP(June[[#This Row],[Drug Name4]],'Data Options'!$R$1:$S$100,2,FALSE), " ")</f>
        <v xml:space="preserve"> </v>
      </c>
      <c r="AI103" s="32"/>
      <c r="AJ103" s="32"/>
      <c r="AK103" s="53"/>
      <c r="AL103" s="54" t="str">
        <f>IFERROR(VLOOKUP(June[[#This Row],[Drug Name5]],'Data Options'!$R$1:$S$100,2,FALSE), " ")</f>
        <v xml:space="preserve"> </v>
      </c>
      <c r="AM103" s="32"/>
      <c r="AN103" s="32"/>
      <c r="AO103" s="53"/>
      <c r="AP103" s="54" t="str">
        <f>IFERROR(VLOOKUP(June[[#This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54" t="str">
        <f>IFERROR(VLOOKUP(June[[#This Row],[Drug Name7]],'Data Options'!$R$1:$S$100,2,FALSE), " ")</f>
        <v xml:space="preserve"> </v>
      </c>
      <c r="AZ103" s="32"/>
      <c r="BA103" s="32"/>
      <c r="BB103" s="53"/>
      <c r="BC103" s="54" t="str">
        <f>IFERROR(VLOOKUP(June[[#This Row],[Drug Name8]],'Data Options'!$R$1:$S$100,2,FALSE), " ")</f>
        <v xml:space="preserve"> </v>
      </c>
      <c r="BD103" s="32"/>
      <c r="BE103" s="32"/>
      <c r="BF103" s="53"/>
      <c r="BG103" s="54" t="str">
        <f>IFERROR(VLOOKUP(June[[#This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54" t="str">
        <f>IFERROR(VLOOKUP(June[[#This Row],[Drug Name]],'Data Options'!$R$1:$S$100,2,FALSE), " ")</f>
        <v xml:space="preserve"> </v>
      </c>
      <c r="R104" s="32"/>
      <c r="S104" s="32"/>
      <c r="T104" s="53"/>
      <c r="U104" s="54" t="str">
        <f>IFERROR(VLOOKUP(June[[#This Row],[Drug Name2]],'Data Options'!$R$1:$S$100,2,FALSE), " ")</f>
        <v xml:space="preserve"> </v>
      </c>
      <c r="V104" s="32"/>
      <c r="W104" s="32"/>
      <c r="X104" s="53"/>
      <c r="Y104" s="54" t="str">
        <f>IFERROR(VLOOKUP(June[[#This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54" t="str">
        <f>IFERROR(VLOOKUP(June[[#This Row],[Drug Name4]],'Data Options'!$R$1:$S$100,2,FALSE), " ")</f>
        <v xml:space="preserve"> </v>
      </c>
      <c r="AI104" s="32"/>
      <c r="AJ104" s="32"/>
      <c r="AK104" s="53"/>
      <c r="AL104" s="54" t="str">
        <f>IFERROR(VLOOKUP(June[[#This Row],[Drug Name5]],'Data Options'!$R$1:$S$100,2,FALSE), " ")</f>
        <v xml:space="preserve"> </v>
      </c>
      <c r="AM104" s="32"/>
      <c r="AN104" s="32"/>
      <c r="AO104" s="53"/>
      <c r="AP104" s="54" t="str">
        <f>IFERROR(VLOOKUP(June[[#This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54" t="str">
        <f>IFERROR(VLOOKUP(June[[#This Row],[Drug Name7]],'Data Options'!$R$1:$S$100,2,FALSE), " ")</f>
        <v xml:space="preserve"> </v>
      </c>
      <c r="AZ104" s="32"/>
      <c r="BA104" s="32"/>
      <c r="BB104" s="53"/>
      <c r="BC104" s="54" t="str">
        <f>IFERROR(VLOOKUP(June[[#This Row],[Drug Name8]],'Data Options'!$R$1:$S$100,2,FALSE), " ")</f>
        <v xml:space="preserve"> </v>
      </c>
      <c r="BD104" s="32"/>
      <c r="BE104" s="32"/>
      <c r="BF104" s="53"/>
      <c r="BG104" s="54" t="str">
        <f>IFERROR(VLOOKUP(June[[#This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54" t="str">
        <f>IFERROR(VLOOKUP(June[[#This Row],[Drug Name]],'Data Options'!$R$1:$S$100,2,FALSE), " ")</f>
        <v xml:space="preserve"> </v>
      </c>
      <c r="R105" s="32"/>
      <c r="S105" s="32"/>
      <c r="T105" s="53"/>
      <c r="U105" s="54" t="str">
        <f>IFERROR(VLOOKUP(June[[#This Row],[Drug Name2]],'Data Options'!$R$1:$S$100,2,FALSE), " ")</f>
        <v xml:space="preserve"> </v>
      </c>
      <c r="V105" s="32"/>
      <c r="W105" s="32"/>
      <c r="X105" s="53"/>
      <c r="Y105" s="54" t="str">
        <f>IFERROR(VLOOKUP(June[[#This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54" t="str">
        <f>IFERROR(VLOOKUP(June[[#This Row],[Drug Name4]],'Data Options'!$R$1:$S$100,2,FALSE), " ")</f>
        <v xml:space="preserve"> </v>
      </c>
      <c r="AI105" s="32"/>
      <c r="AJ105" s="32"/>
      <c r="AK105" s="53"/>
      <c r="AL105" s="54" t="str">
        <f>IFERROR(VLOOKUP(June[[#This Row],[Drug Name5]],'Data Options'!$R$1:$S$100,2,FALSE), " ")</f>
        <v xml:space="preserve"> </v>
      </c>
      <c r="AM105" s="32"/>
      <c r="AN105" s="32"/>
      <c r="AO105" s="53"/>
      <c r="AP105" s="54" t="str">
        <f>IFERROR(VLOOKUP(June[[#This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54" t="str">
        <f>IFERROR(VLOOKUP(June[[#This Row],[Drug Name7]],'Data Options'!$R$1:$S$100,2,FALSE), " ")</f>
        <v xml:space="preserve"> </v>
      </c>
      <c r="AZ105" s="32"/>
      <c r="BA105" s="32"/>
      <c r="BB105" s="53"/>
      <c r="BC105" s="54" t="str">
        <f>IFERROR(VLOOKUP(June[[#This Row],[Drug Name8]],'Data Options'!$R$1:$S$100,2,FALSE), " ")</f>
        <v xml:space="preserve"> </v>
      </c>
      <c r="BD105" s="32"/>
      <c r="BE105" s="32"/>
      <c r="BF105" s="53"/>
      <c r="BG105" s="54" t="str">
        <f>IFERROR(VLOOKUP(June[[#This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54" t="str">
        <f>IFERROR(VLOOKUP(June[[#This Row],[Drug Name]],'Data Options'!$R$1:$S$100,2,FALSE), " ")</f>
        <v xml:space="preserve"> </v>
      </c>
      <c r="R106" s="32"/>
      <c r="S106" s="32"/>
      <c r="T106" s="53"/>
      <c r="U106" s="54" t="str">
        <f>IFERROR(VLOOKUP(June[[#This Row],[Drug Name2]],'Data Options'!$R$1:$S$100,2,FALSE), " ")</f>
        <v xml:space="preserve"> </v>
      </c>
      <c r="V106" s="32"/>
      <c r="W106" s="32"/>
      <c r="X106" s="53"/>
      <c r="Y106" s="54" t="str">
        <f>IFERROR(VLOOKUP(June[[#This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54" t="str">
        <f>IFERROR(VLOOKUP(June[[#This Row],[Drug Name4]],'Data Options'!$R$1:$S$100,2,FALSE), " ")</f>
        <v xml:space="preserve"> </v>
      </c>
      <c r="AI106" s="32"/>
      <c r="AJ106" s="32"/>
      <c r="AK106" s="53"/>
      <c r="AL106" s="54" t="str">
        <f>IFERROR(VLOOKUP(June[[#This Row],[Drug Name5]],'Data Options'!$R$1:$S$100,2,FALSE), " ")</f>
        <v xml:space="preserve"> </v>
      </c>
      <c r="AM106" s="32"/>
      <c r="AN106" s="32"/>
      <c r="AO106" s="53"/>
      <c r="AP106" s="54" t="str">
        <f>IFERROR(VLOOKUP(June[[#This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54" t="str">
        <f>IFERROR(VLOOKUP(June[[#This Row],[Drug Name7]],'Data Options'!$R$1:$S$100,2,FALSE), " ")</f>
        <v xml:space="preserve"> </v>
      </c>
      <c r="AZ106" s="32"/>
      <c r="BA106" s="32"/>
      <c r="BB106" s="53"/>
      <c r="BC106" s="54" t="str">
        <f>IFERROR(VLOOKUP(June[[#This Row],[Drug Name8]],'Data Options'!$R$1:$S$100,2,FALSE), " ")</f>
        <v xml:space="preserve"> </v>
      </c>
      <c r="BD106" s="32"/>
      <c r="BE106" s="32"/>
      <c r="BF106" s="53"/>
      <c r="BG106" s="54" t="str">
        <f>IFERROR(VLOOKUP(June[[#This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54" t="str">
        <f>IFERROR(VLOOKUP(June[[#This Row],[Drug Name]],'Data Options'!$R$1:$S$100,2,FALSE), " ")</f>
        <v xml:space="preserve"> </v>
      </c>
      <c r="R107" s="32"/>
      <c r="S107" s="32"/>
      <c r="T107" s="53"/>
      <c r="U107" s="54" t="str">
        <f>IFERROR(VLOOKUP(June[[#This Row],[Drug Name2]],'Data Options'!$R$1:$S$100,2,FALSE), " ")</f>
        <v xml:space="preserve"> </v>
      </c>
      <c r="V107" s="32"/>
      <c r="W107" s="32"/>
      <c r="X107" s="53"/>
      <c r="Y107" s="54" t="str">
        <f>IFERROR(VLOOKUP(June[[#This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54" t="str">
        <f>IFERROR(VLOOKUP(June[[#This Row],[Drug Name4]],'Data Options'!$R$1:$S$100,2,FALSE), " ")</f>
        <v xml:space="preserve"> </v>
      </c>
      <c r="AI107" s="32"/>
      <c r="AJ107" s="32"/>
      <c r="AK107" s="53"/>
      <c r="AL107" s="54" t="str">
        <f>IFERROR(VLOOKUP(June[[#This Row],[Drug Name5]],'Data Options'!$R$1:$S$100,2,FALSE), " ")</f>
        <v xml:space="preserve"> </v>
      </c>
      <c r="AM107" s="32"/>
      <c r="AN107" s="32"/>
      <c r="AO107" s="53"/>
      <c r="AP107" s="54" t="str">
        <f>IFERROR(VLOOKUP(June[[#This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54" t="str">
        <f>IFERROR(VLOOKUP(June[[#This Row],[Drug Name7]],'Data Options'!$R$1:$S$100,2,FALSE), " ")</f>
        <v xml:space="preserve"> </v>
      </c>
      <c r="AZ107" s="32"/>
      <c r="BA107" s="32"/>
      <c r="BB107" s="53"/>
      <c r="BC107" s="54" t="str">
        <f>IFERROR(VLOOKUP(June[[#This Row],[Drug Name8]],'Data Options'!$R$1:$S$100,2,FALSE), " ")</f>
        <v xml:space="preserve"> </v>
      </c>
      <c r="BD107" s="32"/>
      <c r="BE107" s="32"/>
      <c r="BF107" s="53"/>
      <c r="BG107" s="54" t="str">
        <f>IFERROR(VLOOKUP(June[[#This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54" t="str">
        <f>IFERROR(VLOOKUP(June[[#This Row],[Drug Name]],'Data Options'!$R$1:$S$100,2,FALSE), " ")</f>
        <v xml:space="preserve"> </v>
      </c>
      <c r="R108" s="32"/>
      <c r="S108" s="32"/>
      <c r="T108" s="53"/>
      <c r="U108" s="54" t="str">
        <f>IFERROR(VLOOKUP(June[[#This Row],[Drug Name2]],'Data Options'!$R$1:$S$100,2,FALSE), " ")</f>
        <v xml:space="preserve"> </v>
      </c>
      <c r="V108" s="32"/>
      <c r="W108" s="32"/>
      <c r="X108" s="53"/>
      <c r="Y108" s="54" t="str">
        <f>IFERROR(VLOOKUP(June[[#This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54" t="str">
        <f>IFERROR(VLOOKUP(June[[#This Row],[Drug Name4]],'Data Options'!$R$1:$S$100,2,FALSE), " ")</f>
        <v xml:space="preserve"> </v>
      </c>
      <c r="AI108" s="32"/>
      <c r="AJ108" s="32"/>
      <c r="AK108" s="53"/>
      <c r="AL108" s="54" t="str">
        <f>IFERROR(VLOOKUP(June[[#This Row],[Drug Name5]],'Data Options'!$R$1:$S$100,2,FALSE), " ")</f>
        <v xml:space="preserve"> </v>
      </c>
      <c r="AM108" s="32"/>
      <c r="AN108" s="32"/>
      <c r="AO108" s="53"/>
      <c r="AP108" s="54" t="str">
        <f>IFERROR(VLOOKUP(June[[#This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54" t="str">
        <f>IFERROR(VLOOKUP(June[[#This Row],[Drug Name7]],'Data Options'!$R$1:$S$100,2,FALSE), " ")</f>
        <v xml:space="preserve"> </v>
      </c>
      <c r="AZ108" s="32"/>
      <c r="BA108" s="32"/>
      <c r="BB108" s="53"/>
      <c r="BC108" s="54" t="str">
        <f>IFERROR(VLOOKUP(June[[#This Row],[Drug Name8]],'Data Options'!$R$1:$S$100,2,FALSE), " ")</f>
        <v xml:space="preserve"> </v>
      </c>
      <c r="BD108" s="32"/>
      <c r="BE108" s="32"/>
      <c r="BF108" s="53"/>
      <c r="BG108" s="54" t="str">
        <f>IFERROR(VLOOKUP(June[[#This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54" t="str">
        <f>IFERROR(VLOOKUP(June[[#This Row],[Drug Name]],'Data Options'!$R$1:$S$100,2,FALSE), " ")</f>
        <v xml:space="preserve"> </v>
      </c>
      <c r="R109" s="32"/>
      <c r="S109" s="32"/>
      <c r="T109" s="53"/>
      <c r="U109" s="54" t="str">
        <f>IFERROR(VLOOKUP(June[[#This Row],[Drug Name2]],'Data Options'!$R$1:$S$100,2,FALSE), " ")</f>
        <v xml:space="preserve"> </v>
      </c>
      <c r="V109" s="32"/>
      <c r="W109" s="32"/>
      <c r="X109" s="53"/>
      <c r="Y109" s="54" t="str">
        <f>IFERROR(VLOOKUP(June[[#This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54" t="str">
        <f>IFERROR(VLOOKUP(June[[#This Row],[Drug Name4]],'Data Options'!$R$1:$S$100,2,FALSE), " ")</f>
        <v xml:space="preserve"> </v>
      </c>
      <c r="AI109" s="32"/>
      <c r="AJ109" s="32"/>
      <c r="AK109" s="53"/>
      <c r="AL109" s="54" t="str">
        <f>IFERROR(VLOOKUP(June[[#This Row],[Drug Name5]],'Data Options'!$R$1:$S$100,2,FALSE), " ")</f>
        <v xml:space="preserve"> </v>
      </c>
      <c r="AM109" s="32"/>
      <c r="AN109" s="32"/>
      <c r="AO109" s="53"/>
      <c r="AP109" s="54" t="str">
        <f>IFERROR(VLOOKUP(June[[#This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54" t="str">
        <f>IFERROR(VLOOKUP(June[[#This Row],[Drug Name7]],'Data Options'!$R$1:$S$100,2,FALSE), " ")</f>
        <v xml:space="preserve"> </v>
      </c>
      <c r="AZ109" s="32"/>
      <c r="BA109" s="32"/>
      <c r="BB109" s="53"/>
      <c r="BC109" s="54" t="str">
        <f>IFERROR(VLOOKUP(June[[#This Row],[Drug Name8]],'Data Options'!$R$1:$S$100,2,FALSE), " ")</f>
        <v xml:space="preserve"> </v>
      </c>
      <c r="BD109" s="32"/>
      <c r="BE109" s="32"/>
      <c r="BF109" s="53"/>
      <c r="BG109" s="54" t="str">
        <f>IFERROR(VLOOKUP(June[[#This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54" t="str">
        <f>IFERROR(VLOOKUP(June[[#This Row],[Drug Name]],'Data Options'!$R$1:$S$100,2,FALSE), " ")</f>
        <v xml:space="preserve"> </v>
      </c>
      <c r="R110" s="32"/>
      <c r="S110" s="32"/>
      <c r="T110" s="53"/>
      <c r="U110" s="54" t="str">
        <f>IFERROR(VLOOKUP(June[[#This Row],[Drug Name2]],'Data Options'!$R$1:$S$100,2,FALSE), " ")</f>
        <v xml:space="preserve"> </v>
      </c>
      <c r="V110" s="32"/>
      <c r="W110" s="32"/>
      <c r="X110" s="53"/>
      <c r="Y110" s="54" t="str">
        <f>IFERROR(VLOOKUP(June[[#This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54" t="str">
        <f>IFERROR(VLOOKUP(June[[#This Row],[Drug Name4]],'Data Options'!$R$1:$S$100,2,FALSE), " ")</f>
        <v xml:space="preserve"> </v>
      </c>
      <c r="AI110" s="32"/>
      <c r="AJ110" s="32"/>
      <c r="AK110" s="53"/>
      <c r="AL110" s="54" t="str">
        <f>IFERROR(VLOOKUP(June[[#This Row],[Drug Name5]],'Data Options'!$R$1:$S$100,2,FALSE), " ")</f>
        <v xml:space="preserve"> </v>
      </c>
      <c r="AM110" s="32"/>
      <c r="AN110" s="32"/>
      <c r="AO110" s="53"/>
      <c r="AP110" s="54" t="str">
        <f>IFERROR(VLOOKUP(June[[#This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54" t="str">
        <f>IFERROR(VLOOKUP(June[[#This Row],[Drug Name7]],'Data Options'!$R$1:$S$100,2,FALSE), " ")</f>
        <v xml:space="preserve"> </v>
      </c>
      <c r="AZ110" s="32"/>
      <c r="BA110" s="32"/>
      <c r="BB110" s="53"/>
      <c r="BC110" s="54" t="str">
        <f>IFERROR(VLOOKUP(June[[#This Row],[Drug Name8]],'Data Options'!$R$1:$S$100,2,FALSE), " ")</f>
        <v xml:space="preserve"> </v>
      </c>
      <c r="BD110" s="32"/>
      <c r="BE110" s="32"/>
      <c r="BF110" s="53"/>
      <c r="BG110" s="54" t="str">
        <f>IFERROR(VLOOKUP(June[[#This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54" t="str">
        <f>IFERROR(VLOOKUP(June[[#This Row],[Drug Name]],'Data Options'!$R$1:$S$100,2,FALSE), " ")</f>
        <v xml:space="preserve"> </v>
      </c>
      <c r="R111" s="32"/>
      <c r="S111" s="32"/>
      <c r="T111" s="53"/>
      <c r="U111" s="54" t="str">
        <f>IFERROR(VLOOKUP(June[[#This Row],[Drug Name2]],'Data Options'!$R$1:$S$100,2,FALSE), " ")</f>
        <v xml:space="preserve"> </v>
      </c>
      <c r="V111" s="32"/>
      <c r="W111" s="32"/>
      <c r="X111" s="53"/>
      <c r="Y111" s="54" t="str">
        <f>IFERROR(VLOOKUP(June[[#This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54" t="str">
        <f>IFERROR(VLOOKUP(June[[#This Row],[Drug Name4]],'Data Options'!$R$1:$S$100,2,FALSE), " ")</f>
        <v xml:space="preserve"> </v>
      </c>
      <c r="AI111" s="32"/>
      <c r="AJ111" s="32"/>
      <c r="AK111" s="53"/>
      <c r="AL111" s="54" t="str">
        <f>IFERROR(VLOOKUP(June[[#This Row],[Drug Name5]],'Data Options'!$R$1:$S$100,2,FALSE), " ")</f>
        <v xml:space="preserve"> </v>
      </c>
      <c r="AM111" s="32"/>
      <c r="AN111" s="32"/>
      <c r="AO111" s="53"/>
      <c r="AP111" s="54" t="str">
        <f>IFERROR(VLOOKUP(June[[#This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54" t="str">
        <f>IFERROR(VLOOKUP(June[[#This Row],[Drug Name7]],'Data Options'!$R$1:$S$100,2,FALSE), " ")</f>
        <v xml:space="preserve"> </v>
      </c>
      <c r="AZ111" s="32"/>
      <c r="BA111" s="32"/>
      <c r="BB111" s="53"/>
      <c r="BC111" s="54" t="str">
        <f>IFERROR(VLOOKUP(June[[#This Row],[Drug Name8]],'Data Options'!$R$1:$S$100,2,FALSE), " ")</f>
        <v xml:space="preserve"> </v>
      </c>
      <c r="BD111" s="32"/>
      <c r="BE111" s="32"/>
      <c r="BF111" s="53"/>
      <c r="BG111" s="54" t="str">
        <f>IFERROR(VLOOKUP(June[[#This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54" t="str">
        <f>IFERROR(VLOOKUP(June[[#This Row],[Drug Name]],'Data Options'!$R$1:$S$100,2,FALSE), " ")</f>
        <v xml:space="preserve"> </v>
      </c>
      <c r="R112" s="32"/>
      <c r="S112" s="32"/>
      <c r="T112" s="53"/>
      <c r="U112" s="54" t="str">
        <f>IFERROR(VLOOKUP(June[[#This Row],[Drug Name2]],'Data Options'!$R$1:$S$100,2,FALSE), " ")</f>
        <v xml:space="preserve"> </v>
      </c>
      <c r="V112" s="32"/>
      <c r="W112" s="32"/>
      <c r="X112" s="53"/>
      <c r="Y112" s="54" t="str">
        <f>IFERROR(VLOOKUP(June[[#This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54" t="str">
        <f>IFERROR(VLOOKUP(June[[#This Row],[Drug Name4]],'Data Options'!$R$1:$S$100,2,FALSE), " ")</f>
        <v xml:space="preserve"> </v>
      </c>
      <c r="AI112" s="32"/>
      <c r="AJ112" s="32"/>
      <c r="AK112" s="53"/>
      <c r="AL112" s="54" t="str">
        <f>IFERROR(VLOOKUP(June[[#This Row],[Drug Name5]],'Data Options'!$R$1:$S$100,2,FALSE), " ")</f>
        <v xml:space="preserve"> </v>
      </c>
      <c r="AM112" s="32"/>
      <c r="AN112" s="32"/>
      <c r="AO112" s="53"/>
      <c r="AP112" s="54" t="str">
        <f>IFERROR(VLOOKUP(June[[#This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54" t="str">
        <f>IFERROR(VLOOKUP(June[[#This Row],[Drug Name7]],'Data Options'!$R$1:$S$100,2,FALSE), " ")</f>
        <v xml:space="preserve"> </v>
      </c>
      <c r="AZ112" s="32"/>
      <c r="BA112" s="32"/>
      <c r="BB112" s="53"/>
      <c r="BC112" s="54" t="str">
        <f>IFERROR(VLOOKUP(June[[#This Row],[Drug Name8]],'Data Options'!$R$1:$S$100,2,FALSE), " ")</f>
        <v xml:space="preserve"> </v>
      </c>
      <c r="BD112" s="32"/>
      <c r="BE112" s="32"/>
      <c r="BF112" s="53"/>
      <c r="BG112" s="54" t="str">
        <f>IFERROR(VLOOKUP(June[[#This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54" t="str">
        <f>IFERROR(VLOOKUP(June[[#This Row],[Drug Name]],'Data Options'!$R$1:$S$100,2,FALSE), " ")</f>
        <v xml:space="preserve"> </v>
      </c>
      <c r="R113" s="32"/>
      <c r="S113" s="32"/>
      <c r="T113" s="53"/>
      <c r="U113" s="54" t="str">
        <f>IFERROR(VLOOKUP(June[[#This Row],[Drug Name2]],'Data Options'!$R$1:$S$100,2,FALSE), " ")</f>
        <v xml:space="preserve"> </v>
      </c>
      <c r="V113" s="32"/>
      <c r="W113" s="32"/>
      <c r="X113" s="53"/>
      <c r="Y113" s="54" t="str">
        <f>IFERROR(VLOOKUP(June[[#This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54" t="str">
        <f>IFERROR(VLOOKUP(June[[#This Row],[Drug Name4]],'Data Options'!$R$1:$S$100,2,FALSE), " ")</f>
        <v xml:space="preserve"> </v>
      </c>
      <c r="AI113" s="32"/>
      <c r="AJ113" s="32"/>
      <c r="AK113" s="53"/>
      <c r="AL113" s="54" t="str">
        <f>IFERROR(VLOOKUP(June[[#This Row],[Drug Name5]],'Data Options'!$R$1:$S$100,2,FALSE), " ")</f>
        <v xml:space="preserve"> </v>
      </c>
      <c r="AM113" s="32"/>
      <c r="AN113" s="32"/>
      <c r="AO113" s="53"/>
      <c r="AP113" s="54" t="str">
        <f>IFERROR(VLOOKUP(June[[#This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54" t="str">
        <f>IFERROR(VLOOKUP(June[[#This Row],[Drug Name7]],'Data Options'!$R$1:$S$100,2,FALSE), " ")</f>
        <v xml:space="preserve"> </v>
      </c>
      <c r="AZ113" s="32"/>
      <c r="BA113" s="32"/>
      <c r="BB113" s="53"/>
      <c r="BC113" s="54" t="str">
        <f>IFERROR(VLOOKUP(June[[#This Row],[Drug Name8]],'Data Options'!$R$1:$S$100,2,FALSE), " ")</f>
        <v xml:space="preserve"> </v>
      </c>
      <c r="BD113" s="32"/>
      <c r="BE113" s="32"/>
      <c r="BF113" s="53"/>
      <c r="BG113" s="54" t="str">
        <f>IFERROR(VLOOKUP(June[[#This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54" t="str">
        <f>IFERROR(VLOOKUP(June[[#This Row],[Drug Name]],'Data Options'!$R$1:$S$100,2,FALSE), " ")</f>
        <v xml:space="preserve"> </v>
      </c>
      <c r="R114" s="32"/>
      <c r="S114" s="32"/>
      <c r="T114" s="53"/>
      <c r="U114" s="54" t="str">
        <f>IFERROR(VLOOKUP(June[[#This Row],[Drug Name2]],'Data Options'!$R$1:$S$100,2,FALSE), " ")</f>
        <v xml:space="preserve"> </v>
      </c>
      <c r="V114" s="32"/>
      <c r="W114" s="32"/>
      <c r="X114" s="53"/>
      <c r="Y114" s="54" t="str">
        <f>IFERROR(VLOOKUP(June[[#This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54" t="str">
        <f>IFERROR(VLOOKUP(June[[#This Row],[Drug Name4]],'Data Options'!$R$1:$S$100,2,FALSE), " ")</f>
        <v xml:space="preserve"> </v>
      </c>
      <c r="AI114" s="32"/>
      <c r="AJ114" s="32"/>
      <c r="AK114" s="53"/>
      <c r="AL114" s="54" t="str">
        <f>IFERROR(VLOOKUP(June[[#This Row],[Drug Name5]],'Data Options'!$R$1:$S$100,2,FALSE), " ")</f>
        <v xml:space="preserve"> </v>
      </c>
      <c r="AM114" s="32"/>
      <c r="AN114" s="32"/>
      <c r="AO114" s="53"/>
      <c r="AP114" s="54" t="str">
        <f>IFERROR(VLOOKUP(June[[#This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54" t="str">
        <f>IFERROR(VLOOKUP(June[[#This Row],[Drug Name7]],'Data Options'!$R$1:$S$100,2,FALSE), " ")</f>
        <v xml:space="preserve"> </v>
      </c>
      <c r="AZ114" s="32"/>
      <c r="BA114" s="32"/>
      <c r="BB114" s="53"/>
      <c r="BC114" s="54" t="str">
        <f>IFERROR(VLOOKUP(June[[#This Row],[Drug Name8]],'Data Options'!$R$1:$S$100,2,FALSE), " ")</f>
        <v xml:space="preserve"> </v>
      </c>
      <c r="BD114" s="32"/>
      <c r="BE114" s="32"/>
      <c r="BF114" s="53"/>
      <c r="BG114" s="54" t="str">
        <f>IFERROR(VLOOKUP(June[[#This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54" t="str">
        <f>IFERROR(VLOOKUP(June[[#This Row],[Drug Name]],'Data Options'!$R$1:$S$100,2,FALSE), " ")</f>
        <v xml:space="preserve"> </v>
      </c>
      <c r="R115" s="32"/>
      <c r="S115" s="32"/>
      <c r="T115" s="53"/>
      <c r="U115" s="54" t="str">
        <f>IFERROR(VLOOKUP(June[[#This Row],[Drug Name2]],'Data Options'!$R$1:$S$100,2,FALSE), " ")</f>
        <v xml:space="preserve"> </v>
      </c>
      <c r="V115" s="32"/>
      <c r="W115" s="32"/>
      <c r="X115" s="53"/>
      <c r="Y115" s="54" t="str">
        <f>IFERROR(VLOOKUP(June[[#This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54" t="str">
        <f>IFERROR(VLOOKUP(June[[#This Row],[Drug Name4]],'Data Options'!$R$1:$S$100,2,FALSE), " ")</f>
        <v xml:space="preserve"> </v>
      </c>
      <c r="AI115" s="32"/>
      <c r="AJ115" s="32"/>
      <c r="AK115" s="53"/>
      <c r="AL115" s="54" t="str">
        <f>IFERROR(VLOOKUP(June[[#This Row],[Drug Name5]],'Data Options'!$R$1:$S$100,2,FALSE), " ")</f>
        <v xml:space="preserve"> </v>
      </c>
      <c r="AM115" s="32"/>
      <c r="AN115" s="32"/>
      <c r="AO115" s="53"/>
      <c r="AP115" s="54" t="str">
        <f>IFERROR(VLOOKUP(June[[#This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54" t="str">
        <f>IFERROR(VLOOKUP(June[[#This Row],[Drug Name7]],'Data Options'!$R$1:$S$100,2,FALSE), " ")</f>
        <v xml:space="preserve"> </v>
      </c>
      <c r="AZ115" s="32"/>
      <c r="BA115" s="32"/>
      <c r="BB115" s="53"/>
      <c r="BC115" s="54" t="str">
        <f>IFERROR(VLOOKUP(June[[#This Row],[Drug Name8]],'Data Options'!$R$1:$S$100,2,FALSE), " ")</f>
        <v xml:space="preserve"> </v>
      </c>
      <c r="BD115" s="32"/>
      <c r="BE115" s="32"/>
      <c r="BF115" s="53"/>
      <c r="BG115" s="54" t="str">
        <f>IFERROR(VLOOKUP(June[[#This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54" t="str">
        <f>IFERROR(VLOOKUP(June[[#This Row],[Drug Name]],'Data Options'!$R$1:$S$100,2,FALSE), " ")</f>
        <v xml:space="preserve"> </v>
      </c>
      <c r="R116" s="32"/>
      <c r="S116" s="32"/>
      <c r="T116" s="53"/>
      <c r="U116" s="54" t="str">
        <f>IFERROR(VLOOKUP(June[[#This Row],[Drug Name2]],'Data Options'!$R$1:$S$100,2,FALSE), " ")</f>
        <v xml:space="preserve"> </v>
      </c>
      <c r="V116" s="32"/>
      <c r="W116" s="32"/>
      <c r="X116" s="53"/>
      <c r="Y116" s="54" t="str">
        <f>IFERROR(VLOOKUP(June[[#This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54" t="str">
        <f>IFERROR(VLOOKUP(June[[#This Row],[Drug Name4]],'Data Options'!$R$1:$S$100,2,FALSE), " ")</f>
        <v xml:space="preserve"> </v>
      </c>
      <c r="AI116" s="32"/>
      <c r="AJ116" s="32"/>
      <c r="AK116" s="53"/>
      <c r="AL116" s="54" t="str">
        <f>IFERROR(VLOOKUP(June[[#This Row],[Drug Name5]],'Data Options'!$R$1:$S$100,2,FALSE), " ")</f>
        <v xml:space="preserve"> </v>
      </c>
      <c r="AM116" s="32"/>
      <c r="AN116" s="32"/>
      <c r="AO116" s="53"/>
      <c r="AP116" s="54" t="str">
        <f>IFERROR(VLOOKUP(June[[#This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54" t="str">
        <f>IFERROR(VLOOKUP(June[[#This Row],[Drug Name7]],'Data Options'!$R$1:$S$100,2,FALSE), " ")</f>
        <v xml:space="preserve"> </v>
      </c>
      <c r="AZ116" s="32"/>
      <c r="BA116" s="32"/>
      <c r="BB116" s="53"/>
      <c r="BC116" s="54" t="str">
        <f>IFERROR(VLOOKUP(June[[#This Row],[Drug Name8]],'Data Options'!$R$1:$S$100,2,FALSE), " ")</f>
        <v xml:space="preserve"> </v>
      </c>
      <c r="BD116" s="32"/>
      <c r="BE116" s="32"/>
      <c r="BF116" s="53"/>
      <c r="BG116" s="54" t="str">
        <f>IFERROR(VLOOKUP(June[[#This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54" t="str">
        <f>IFERROR(VLOOKUP(June[[#This Row],[Drug Name]],'Data Options'!$R$1:$S$100,2,FALSE), " ")</f>
        <v xml:space="preserve"> </v>
      </c>
      <c r="R117" s="32"/>
      <c r="S117" s="32"/>
      <c r="T117" s="53"/>
      <c r="U117" s="54" t="str">
        <f>IFERROR(VLOOKUP(June[[#This Row],[Drug Name2]],'Data Options'!$R$1:$S$100,2,FALSE), " ")</f>
        <v xml:space="preserve"> </v>
      </c>
      <c r="V117" s="32"/>
      <c r="W117" s="32"/>
      <c r="X117" s="53"/>
      <c r="Y117" s="54" t="str">
        <f>IFERROR(VLOOKUP(June[[#This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54" t="str">
        <f>IFERROR(VLOOKUP(June[[#This Row],[Drug Name4]],'Data Options'!$R$1:$S$100,2,FALSE), " ")</f>
        <v xml:space="preserve"> </v>
      </c>
      <c r="AI117" s="32"/>
      <c r="AJ117" s="32"/>
      <c r="AK117" s="53"/>
      <c r="AL117" s="54" t="str">
        <f>IFERROR(VLOOKUP(June[[#This Row],[Drug Name5]],'Data Options'!$R$1:$S$100,2,FALSE), " ")</f>
        <v xml:space="preserve"> </v>
      </c>
      <c r="AM117" s="32"/>
      <c r="AN117" s="32"/>
      <c r="AO117" s="53"/>
      <c r="AP117" s="54" t="str">
        <f>IFERROR(VLOOKUP(June[[#This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54" t="str">
        <f>IFERROR(VLOOKUP(June[[#This Row],[Drug Name7]],'Data Options'!$R$1:$S$100,2,FALSE), " ")</f>
        <v xml:space="preserve"> </v>
      </c>
      <c r="AZ117" s="32"/>
      <c r="BA117" s="32"/>
      <c r="BB117" s="53"/>
      <c r="BC117" s="54" t="str">
        <f>IFERROR(VLOOKUP(June[[#This Row],[Drug Name8]],'Data Options'!$R$1:$S$100,2,FALSE), " ")</f>
        <v xml:space="preserve"> </v>
      </c>
      <c r="BD117" s="32"/>
      <c r="BE117" s="32"/>
      <c r="BF117" s="53"/>
      <c r="BG117" s="54" t="str">
        <f>IFERROR(VLOOKUP(June[[#This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54" t="str">
        <f>IFERROR(VLOOKUP(June[[#This Row],[Drug Name]],'Data Options'!$R$1:$S$100,2,FALSE), " ")</f>
        <v xml:space="preserve"> </v>
      </c>
      <c r="R118" s="32"/>
      <c r="S118" s="32"/>
      <c r="T118" s="53"/>
      <c r="U118" s="54" t="str">
        <f>IFERROR(VLOOKUP(June[[#This Row],[Drug Name2]],'Data Options'!$R$1:$S$100,2,FALSE), " ")</f>
        <v xml:space="preserve"> </v>
      </c>
      <c r="V118" s="32"/>
      <c r="W118" s="32"/>
      <c r="X118" s="53"/>
      <c r="Y118" s="54" t="str">
        <f>IFERROR(VLOOKUP(June[[#This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54" t="str">
        <f>IFERROR(VLOOKUP(June[[#This Row],[Drug Name4]],'Data Options'!$R$1:$S$100,2,FALSE), " ")</f>
        <v xml:space="preserve"> </v>
      </c>
      <c r="AI118" s="32"/>
      <c r="AJ118" s="32"/>
      <c r="AK118" s="53"/>
      <c r="AL118" s="54" t="str">
        <f>IFERROR(VLOOKUP(June[[#This Row],[Drug Name5]],'Data Options'!$R$1:$S$100,2,FALSE), " ")</f>
        <v xml:space="preserve"> </v>
      </c>
      <c r="AM118" s="32"/>
      <c r="AN118" s="32"/>
      <c r="AO118" s="53"/>
      <c r="AP118" s="54" t="str">
        <f>IFERROR(VLOOKUP(June[[#This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54" t="str">
        <f>IFERROR(VLOOKUP(June[[#This Row],[Drug Name7]],'Data Options'!$R$1:$S$100,2,FALSE), " ")</f>
        <v xml:space="preserve"> </v>
      </c>
      <c r="AZ118" s="32"/>
      <c r="BA118" s="32"/>
      <c r="BB118" s="53"/>
      <c r="BC118" s="54" t="str">
        <f>IFERROR(VLOOKUP(June[[#This Row],[Drug Name8]],'Data Options'!$R$1:$S$100,2,FALSE), " ")</f>
        <v xml:space="preserve"> </v>
      </c>
      <c r="BD118" s="32"/>
      <c r="BE118" s="32"/>
      <c r="BF118" s="53"/>
      <c r="BG118" s="54" t="str">
        <f>IFERROR(VLOOKUP(June[[#This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54" t="str">
        <f>IFERROR(VLOOKUP(June[[#This Row],[Drug Name]],'Data Options'!$R$1:$S$100,2,FALSE), " ")</f>
        <v xml:space="preserve"> </v>
      </c>
      <c r="R119" s="32"/>
      <c r="S119" s="32"/>
      <c r="T119" s="53"/>
      <c r="U119" s="54" t="str">
        <f>IFERROR(VLOOKUP(June[[#This Row],[Drug Name2]],'Data Options'!$R$1:$S$100,2,FALSE), " ")</f>
        <v xml:space="preserve"> </v>
      </c>
      <c r="V119" s="32"/>
      <c r="W119" s="32"/>
      <c r="X119" s="53"/>
      <c r="Y119" s="54" t="str">
        <f>IFERROR(VLOOKUP(June[[#This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54" t="str">
        <f>IFERROR(VLOOKUP(June[[#This Row],[Drug Name4]],'Data Options'!$R$1:$S$100,2,FALSE), " ")</f>
        <v xml:space="preserve"> </v>
      </c>
      <c r="AI119" s="32"/>
      <c r="AJ119" s="32"/>
      <c r="AK119" s="53"/>
      <c r="AL119" s="54" t="str">
        <f>IFERROR(VLOOKUP(June[[#This Row],[Drug Name5]],'Data Options'!$R$1:$S$100,2,FALSE), " ")</f>
        <v xml:space="preserve"> </v>
      </c>
      <c r="AM119" s="32"/>
      <c r="AN119" s="32"/>
      <c r="AO119" s="53"/>
      <c r="AP119" s="54" t="str">
        <f>IFERROR(VLOOKUP(June[[#This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54" t="str">
        <f>IFERROR(VLOOKUP(June[[#This Row],[Drug Name7]],'Data Options'!$R$1:$S$100,2,FALSE), " ")</f>
        <v xml:space="preserve"> </v>
      </c>
      <c r="AZ119" s="32"/>
      <c r="BA119" s="32"/>
      <c r="BB119" s="53"/>
      <c r="BC119" s="54" t="str">
        <f>IFERROR(VLOOKUP(June[[#This Row],[Drug Name8]],'Data Options'!$R$1:$S$100,2,FALSE), " ")</f>
        <v xml:space="preserve"> </v>
      </c>
      <c r="BD119" s="32"/>
      <c r="BE119" s="32"/>
      <c r="BF119" s="53"/>
      <c r="BG119" s="54" t="str">
        <f>IFERROR(VLOOKUP(June[[#This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54" t="str">
        <f>IFERROR(VLOOKUP(June[[#This Row],[Drug Name]],'Data Options'!$R$1:$S$100,2,FALSE), " ")</f>
        <v xml:space="preserve"> </v>
      </c>
      <c r="R120" s="32"/>
      <c r="S120" s="32"/>
      <c r="T120" s="53"/>
      <c r="U120" s="54" t="str">
        <f>IFERROR(VLOOKUP(June[[#This Row],[Drug Name2]],'Data Options'!$R$1:$S$100,2,FALSE), " ")</f>
        <v xml:space="preserve"> </v>
      </c>
      <c r="V120" s="32"/>
      <c r="W120" s="32"/>
      <c r="X120" s="53"/>
      <c r="Y120" s="54" t="str">
        <f>IFERROR(VLOOKUP(June[[#This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54" t="str">
        <f>IFERROR(VLOOKUP(June[[#This Row],[Drug Name4]],'Data Options'!$R$1:$S$100,2,FALSE), " ")</f>
        <v xml:space="preserve"> </v>
      </c>
      <c r="AI120" s="32"/>
      <c r="AJ120" s="32"/>
      <c r="AK120" s="53"/>
      <c r="AL120" s="54" t="str">
        <f>IFERROR(VLOOKUP(June[[#This Row],[Drug Name5]],'Data Options'!$R$1:$S$100,2,FALSE), " ")</f>
        <v xml:space="preserve"> </v>
      </c>
      <c r="AM120" s="32"/>
      <c r="AN120" s="32"/>
      <c r="AO120" s="53"/>
      <c r="AP120" s="54" t="str">
        <f>IFERROR(VLOOKUP(June[[#This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54" t="str">
        <f>IFERROR(VLOOKUP(June[[#This Row],[Drug Name7]],'Data Options'!$R$1:$S$100,2,FALSE), " ")</f>
        <v xml:space="preserve"> </v>
      </c>
      <c r="AZ120" s="32"/>
      <c r="BA120" s="32"/>
      <c r="BB120" s="53"/>
      <c r="BC120" s="54" t="str">
        <f>IFERROR(VLOOKUP(June[[#This Row],[Drug Name8]],'Data Options'!$R$1:$S$100,2,FALSE), " ")</f>
        <v xml:space="preserve"> </v>
      </c>
      <c r="BD120" s="32"/>
      <c r="BE120" s="32"/>
      <c r="BF120" s="53"/>
      <c r="BG120" s="54" t="str">
        <f>IFERROR(VLOOKUP(June[[#This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54" t="str">
        <f>IFERROR(VLOOKUP(June[[#This Row],[Drug Name]],'Data Options'!$R$1:$S$100,2,FALSE), " ")</f>
        <v xml:space="preserve"> </v>
      </c>
      <c r="R121" s="32"/>
      <c r="S121" s="32"/>
      <c r="T121" s="53"/>
      <c r="U121" s="54" t="str">
        <f>IFERROR(VLOOKUP(June[[#This Row],[Drug Name2]],'Data Options'!$R$1:$S$100,2,FALSE), " ")</f>
        <v xml:space="preserve"> </v>
      </c>
      <c r="V121" s="32"/>
      <c r="W121" s="32"/>
      <c r="X121" s="53"/>
      <c r="Y121" s="54" t="str">
        <f>IFERROR(VLOOKUP(June[[#This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54" t="str">
        <f>IFERROR(VLOOKUP(June[[#This Row],[Drug Name4]],'Data Options'!$R$1:$S$100,2,FALSE), " ")</f>
        <v xml:space="preserve"> </v>
      </c>
      <c r="AI121" s="32"/>
      <c r="AJ121" s="32"/>
      <c r="AK121" s="53"/>
      <c r="AL121" s="54" t="str">
        <f>IFERROR(VLOOKUP(June[[#This Row],[Drug Name5]],'Data Options'!$R$1:$S$100,2,FALSE), " ")</f>
        <v xml:space="preserve"> </v>
      </c>
      <c r="AM121" s="32"/>
      <c r="AN121" s="32"/>
      <c r="AO121" s="53"/>
      <c r="AP121" s="54" t="str">
        <f>IFERROR(VLOOKUP(June[[#This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54" t="str">
        <f>IFERROR(VLOOKUP(June[[#This Row],[Drug Name7]],'Data Options'!$R$1:$S$100,2,FALSE), " ")</f>
        <v xml:space="preserve"> </v>
      </c>
      <c r="AZ121" s="32"/>
      <c r="BA121" s="32"/>
      <c r="BB121" s="53"/>
      <c r="BC121" s="54" t="str">
        <f>IFERROR(VLOOKUP(June[[#This Row],[Drug Name8]],'Data Options'!$R$1:$S$100,2,FALSE), " ")</f>
        <v xml:space="preserve"> </v>
      </c>
      <c r="BD121" s="32"/>
      <c r="BE121" s="32"/>
      <c r="BF121" s="53"/>
      <c r="BG121" s="54" t="str">
        <f>IFERROR(VLOOKUP(June[[#This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54" t="str">
        <f>IFERROR(VLOOKUP(June[[#This Row],[Drug Name]],'Data Options'!$R$1:$S$100,2,FALSE), " ")</f>
        <v xml:space="preserve"> </v>
      </c>
      <c r="R122" s="32"/>
      <c r="S122" s="32"/>
      <c r="T122" s="53"/>
      <c r="U122" s="54" t="str">
        <f>IFERROR(VLOOKUP(June[[#This Row],[Drug Name2]],'Data Options'!$R$1:$S$100,2,FALSE), " ")</f>
        <v xml:space="preserve"> </v>
      </c>
      <c r="V122" s="32"/>
      <c r="W122" s="32"/>
      <c r="X122" s="53"/>
      <c r="Y122" s="54" t="str">
        <f>IFERROR(VLOOKUP(June[[#This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54" t="str">
        <f>IFERROR(VLOOKUP(June[[#This Row],[Drug Name4]],'Data Options'!$R$1:$S$100,2,FALSE), " ")</f>
        <v xml:space="preserve"> </v>
      </c>
      <c r="AI122" s="32"/>
      <c r="AJ122" s="32"/>
      <c r="AK122" s="53"/>
      <c r="AL122" s="54" t="str">
        <f>IFERROR(VLOOKUP(June[[#This Row],[Drug Name5]],'Data Options'!$R$1:$S$100,2,FALSE), " ")</f>
        <v xml:space="preserve"> </v>
      </c>
      <c r="AM122" s="32"/>
      <c r="AN122" s="32"/>
      <c r="AO122" s="53"/>
      <c r="AP122" s="54" t="str">
        <f>IFERROR(VLOOKUP(June[[#This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54" t="str">
        <f>IFERROR(VLOOKUP(June[[#This Row],[Drug Name7]],'Data Options'!$R$1:$S$100,2,FALSE), " ")</f>
        <v xml:space="preserve"> </v>
      </c>
      <c r="AZ122" s="32"/>
      <c r="BA122" s="32"/>
      <c r="BB122" s="53"/>
      <c r="BC122" s="54" t="str">
        <f>IFERROR(VLOOKUP(June[[#This Row],[Drug Name8]],'Data Options'!$R$1:$S$100,2,FALSE), " ")</f>
        <v xml:space="preserve"> </v>
      </c>
      <c r="BD122" s="32"/>
      <c r="BE122" s="32"/>
      <c r="BF122" s="53"/>
      <c r="BG122" s="54" t="str">
        <f>IFERROR(VLOOKUP(June[[#This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54" t="str">
        <f>IFERROR(VLOOKUP(June[[#This Row],[Drug Name]],'Data Options'!$R$1:$S$100,2,FALSE), " ")</f>
        <v xml:space="preserve"> </v>
      </c>
      <c r="R123" s="32"/>
      <c r="S123" s="32"/>
      <c r="T123" s="53"/>
      <c r="U123" s="54" t="str">
        <f>IFERROR(VLOOKUP(June[[#This Row],[Drug Name2]],'Data Options'!$R$1:$S$100,2,FALSE), " ")</f>
        <v xml:space="preserve"> </v>
      </c>
      <c r="V123" s="32"/>
      <c r="W123" s="32"/>
      <c r="X123" s="53"/>
      <c r="Y123" s="54" t="str">
        <f>IFERROR(VLOOKUP(June[[#This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54" t="str">
        <f>IFERROR(VLOOKUP(June[[#This Row],[Drug Name4]],'Data Options'!$R$1:$S$100,2,FALSE), " ")</f>
        <v xml:space="preserve"> </v>
      </c>
      <c r="AI123" s="32"/>
      <c r="AJ123" s="32"/>
      <c r="AK123" s="53"/>
      <c r="AL123" s="54" t="str">
        <f>IFERROR(VLOOKUP(June[[#This Row],[Drug Name5]],'Data Options'!$R$1:$S$100,2,FALSE), " ")</f>
        <v xml:space="preserve"> </v>
      </c>
      <c r="AM123" s="32"/>
      <c r="AN123" s="32"/>
      <c r="AO123" s="53"/>
      <c r="AP123" s="54" t="str">
        <f>IFERROR(VLOOKUP(June[[#This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54" t="str">
        <f>IFERROR(VLOOKUP(June[[#This Row],[Drug Name7]],'Data Options'!$R$1:$S$100,2,FALSE), " ")</f>
        <v xml:space="preserve"> </v>
      </c>
      <c r="AZ123" s="32"/>
      <c r="BA123" s="32"/>
      <c r="BB123" s="53"/>
      <c r="BC123" s="54" t="str">
        <f>IFERROR(VLOOKUP(June[[#This Row],[Drug Name8]],'Data Options'!$R$1:$S$100,2,FALSE), " ")</f>
        <v xml:space="preserve"> </v>
      </c>
      <c r="BD123" s="32"/>
      <c r="BE123" s="32"/>
      <c r="BF123" s="53"/>
      <c r="BG123" s="54" t="str">
        <f>IFERROR(VLOOKUP(June[[#This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54" t="str">
        <f>IFERROR(VLOOKUP(June[[#This Row],[Drug Name]],'Data Options'!$R$1:$S$100,2,FALSE), " ")</f>
        <v xml:space="preserve"> </v>
      </c>
      <c r="R124" s="32"/>
      <c r="S124" s="32"/>
      <c r="T124" s="53"/>
      <c r="U124" s="54" t="str">
        <f>IFERROR(VLOOKUP(June[[#This Row],[Drug Name2]],'Data Options'!$R$1:$S$100,2,FALSE), " ")</f>
        <v xml:space="preserve"> </v>
      </c>
      <c r="V124" s="32"/>
      <c r="W124" s="32"/>
      <c r="X124" s="53"/>
      <c r="Y124" s="54" t="str">
        <f>IFERROR(VLOOKUP(June[[#This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54" t="str">
        <f>IFERROR(VLOOKUP(June[[#This Row],[Drug Name4]],'Data Options'!$R$1:$S$100,2,FALSE), " ")</f>
        <v xml:space="preserve"> </v>
      </c>
      <c r="AI124" s="32"/>
      <c r="AJ124" s="32"/>
      <c r="AK124" s="53"/>
      <c r="AL124" s="54" t="str">
        <f>IFERROR(VLOOKUP(June[[#This Row],[Drug Name5]],'Data Options'!$R$1:$S$100,2,FALSE), " ")</f>
        <v xml:space="preserve"> </v>
      </c>
      <c r="AM124" s="32"/>
      <c r="AN124" s="32"/>
      <c r="AO124" s="53"/>
      <c r="AP124" s="54" t="str">
        <f>IFERROR(VLOOKUP(June[[#This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54" t="str">
        <f>IFERROR(VLOOKUP(June[[#This Row],[Drug Name7]],'Data Options'!$R$1:$S$100,2,FALSE), " ")</f>
        <v xml:space="preserve"> </v>
      </c>
      <c r="AZ124" s="32"/>
      <c r="BA124" s="32"/>
      <c r="BB124" s="53"/>
      <c r="BC124" s="54" t="str">
        <f>IFERROR(VLOOKUP(June[[#This Row],[Drug Name8]],'Data Options'!$R$1:$S$100,2,FALSE), " ")</f>
        <v xml:space="preserve"> </v>
      </c>
      <c r="BD124" s="32"/>
      <c r="BE124" s="32"/>
      <c r="BF124" s="53"/>
      <c r="BG124" s="54" t="str">
        <f>IFERROR(VLOOKUP(June[[#This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54" t="str">
        <f>IFERROR(VLOOKUP(June[[#This Row],[Drug Name]],'Data Options'!$R$1:$S$100,2,FALSE), " ")</f>
        <v xml:space="preserve"> </v>
      </c>
      <c r="R125" s="32"/>
      <c r="S125" s="32"/>
      <c r="T125" s="53"/>
      <c r="U125" s="54" t="str">
        <f>IFERROR(VLOOKUP(June[[#This Row],[Drug Name2]],'Data Options'!$R$1:$S$100,2,FALSE), " ")</f>
        <v xml:space="preserve"> </v>
      </c>
      <c r="V125" s="32"/>
      <c r="W125" s="32"/>
      <c r="X125" s="53"/>
      <c r="Y125" s="54" t="str">
        <f>IFERROR(VLOOKUP(June[[#This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54" t="str">
        <f>IFERROR(VLOOKUP(June[[#This Row],[Drug Name4]],'Data Options'!$R$1:$S$100,2,FALSE), " ")</f>
        <v xml:space="preserve"> </v>
      </c>
      <c r="AI125" s="32"/>
      <c r="AJ125" s="32"/>
      <c r="AK125" s="53"/>
      <c r="AL125" s="54" t="str">
        <f>IFERROR(VLOOKUP(June[[#This Row],[Drug Name5]],'Data Options'!$R$1:$S$100,2,FALSE), " ")</f>
        <v xml:space="preserve"> </v>
      </c>
      <c r="AM125" s="32"/>
      <c r="AN125" s="32"/>
      <c r="AO125" s="53"/>
      <c r="AP125" s="54" t="str">
        <f>IFERROR(VLOOKUP(June[[#This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54" t="str">
        <f>IFERROR(VLOOKUP(June[[#This Row],[Drug Name7]],'Data Options'!$R$1:$S$100,2,FALSE), " ")</f>
        <v xml:space="preserve"> </v>
      </c>
      <c r="AZ125" s="32"/>
      <c r="BA125" s="32"/>
      <c r="BB125" s="53"/>
      <c r="BC125" s="54" t="str">
        <f>IFERROR(VLOOKUP(June[[#This Row],[Drug Name8]],'Data Options'!$R$1:$S$100,2,FALSE), " ")</f>
        <v xml:space="preserve"> </v>
      </c>
      <c r="BD125" s="32"/>
      <c r="BE125" s="32"/>
      <c r="BF125" s="53"/>
      <c r="BG125" s="54" t="str">
        <f>IFERROR(VLOOKUP(June[[#This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54" t="str">
        <f>IFERROR(VLOOKUP(June[[#This Row],[Drug Name]],'Data Options'!$R$1:$S$100,2,FALSE), " ")</f>
        <v xml:space="preserve"> </v>
      </c>
      <c r="R126" s="32"/>
      <c r="S126" s="32"/>
      <c r="T126" s="53"/>
      <c r="U126" s="54" t="str">
        <f>IFERROR(VLOOKUP(June[[#This Row],[Drug Name2]],'Data Options'!$R$1:$S$100,2,FALSE), " ")</f>
        <v xml:space="preserve"> </v>
      </c>
      <c r="V126" s="32"/>
      <c r="W126" s="32"/>
      <c r="X126" s="53"/>
      <c r="Y126" s="54" t="str">
        <f>IFERROR(VLOOKUP(June[[#This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54" t="str">
        <f>IFERROR(VLOOKUP(June[[#This Row],[Drug Name4]],'Data Options'!$R$1:$S$100,2,FALSE), " ")</f>
        <v xml:space="preserve"> </v>
      </c>
      <c r="AI126" s="32"/>
      <c r="AJ126" s="32"/>
      <c r="AK126" s="53"/>
      <c r="AL126" s="54" t="str">
        <f>IFERROR(VLOOKUP(June[[#This Row],[Drug Name5]],'Data Options'!$R$1:$S$100,2,FALSE), " ")</f>
        <v xml:space="preserve"> </v>
      </c>
      <c r="AM126" s="32"/>
      <c r="AN126" s="32"/>
      <c r="AO126" s="53"/>
      <c r="AP126" s="54" t="str">
        <f>IFERROR(VLOOKUP(June[[#This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54" t="str">
        <f>IFERROR(VLOOKUP(June[[#This Row],[Drug Name7]],'Data Options'!$R$1:$S$100,2,FALSE), " ")</f>
        <v xml:space="preserve"> </v>
      </c>
      <c r="AZ126" s="32"/>
      <c r="BA126" s="32"/>
      <c r="BB126" s="53"/>
      <c r="BC126" s="54" t="str">
        <f>IFERROR(VLOOKUP(June[[#This Row],[Drug Name8]],'Data Options'!$R$1:$S$100,2,FALSE), " ")</f>
        <v xml:space="preserve"> </v>
      </c>
      <c r="BD126" s="32"/>
      <c r="BE126" s="32"/>
      <c r="BF126" s="53"/>
      <c r="BG126" s="54" t="str">
        <f>IFERROR(VLOOKUP(June[[#This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54" t="str">
        <f>IFERROR(VLOOKUP(June[[#This Row],[Drug Name]],'Data Options'!$R$1:$S$100,2,FALSE), " ")</f>
        <v xml:space="preserve"> </v>
      </c>
      <c r="R127" s="32"/>
      <c r="S127" s="32"/>
      <c r="T127" s="53"/>
      <c r="U127" s="54" t="str">
        <f>IFERROR(VLOOKUP(June[[#This Row],[Drug Name2]],'Data Options'!$R$1:$S$100,2,FALSE), " ")</f>
        <v xml:space="preserve"> </v>
      </c>
      <c r="V127" s="32"/>
      <c r="W127" s="32"/>
      <c r="X127" s="53"/>
      <c r="Y127" s="54" t="str">
        <f>IFERROR(VLOOKUP(June[[#This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54" t="str">
        <f>IFERROR(VLOOKUP(June[[#This Row],[Drug Name4]],'Data Options'!$R$1:$S$100,2,FALSE), " ")</f>
        <v xml:space="preserve"> </v>
      </c>
      <c r="AI127" s="32"/>
      <c r="AJ127" s="32"/>
      <c r="AK127" s="53"/>
      <c r="AL127" s="54" t="str">
        <f>IFERROR(VLOOKUP(June[[#This Row],[Drug Name5]],'Data Options'!$R$1:$S$100,2,FALSE), " ")</f>
        <v xml:space="preserve"> </v>
      </c>
      <c r="AM127" s="32"/>
      <c r="AN127" s="32"/>
      <c r="AO127" s="53"/>
      <c r="AP127" s="54" t="str">
        <f>IFERROR(VLOOKUP(June[[#This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54" t="str">
        <f>IFERROR(VLOOKUP(June[[#This Row],[Drug Name7]],'Data Options'!$R$1:$S$100,2,FALSE), " ")</f>
        <v xml:space="preserve"> </v>
      </c>
      <c r="AZ127" s="32"/>
      <c r="BA127" s="32"/>
      <c r="BB127" s="53"/>
      <c r="BC127" s="54" t="str">
        <f>IFERROR(VLOOKUP(June[[#This Row],[Drug Name8]],'Data Options'!$R$1:$S$100,2,FALSE), " ")</f>
        <v xml:space="preserve"> </v>
      </c>
      <c r="BD127" s="32"/>
      <c r="BE127" s="32"/>
      <c r="BF127" s="53"/>
      <c r="BG127" s="54" t="str">
        <f>IFERROR(VLOOKUP(June[[#This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54" t="str">
        <f>IFERROR(VLOOKUP(June[[#This Row],[Drug Name]],'Data Options'!$R$1:$S$100,2,FALSE), " ")</f>
        <v xml:space="preserve"> </v>
      </c>
      <c r="R128" s="32"/>
      <c r="S128" s="32"/>
      <c r="T128" s="53"/>
      <c r="U128" s="54" t="str">
        <f>IFERROR(VLOOKUP(June[[#This Row],[Drug Name2]],'Data Options'!$R$1:$S$100,2,FALSE), " ")</f>
        <v xml:space="preserve"> </v>
      </c>
      <c r="V128" s="32"/>
      <c r="W128" s="32"/>
      <c r="X128" s="53"/>
      <c r="Y128" s="54" t="str">
        <f>IFERROR(VLOOKUP(June[[#This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54" t="str">
        <f>IFERROR(VLOOKUP(June[[#This Row],[Drug Name4]],'Data Options'!$R$1:$S$100,2,FALSE), " ")</f>
        <v xml:space="preserve"> </v>
      </c>
      <c r="AI128" s="32"/>
      <c r="AJ128" s="32"/>
      <c r="AK128" s="53"/>
      <c r="AL128" s="54" t="str">
        <f>IFERROR(VLOOKUP(June[[#This Row],[Drug Name5]],'Data Options'!$R$1:$S$100,2,FALSE), " ")</f>
        <v xml:space="preserve"> </v>
      </c>
      <c r="AM128" s="32"/>
      <c r="AN128" s="32"/>
      <c r="AO128" s="53"/>
      <c r="AP128" s="54" t="str">
        <f>IFERROR(VLOOKUP(June[[#This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54" t="str">
        <f>IFERROR(VLOOKUP(June[[#This Row],[Drug Name7]],'Data Options'!$R$1:$S$100,2,FALSE), " ")</f>
        <v xml:space="preserve"> </v>
      </c>
      <c r="AZ128" s="32"/>
      <c r="BA128" s="32"/>
      <c r="BB128" s="53"/>
      <c r="BC128" s="54" t="str">
        <f>IFERROR(VLOOKUP(June[[#This Row],[Drug Name8]],'Data Options'!$R$1:$S$100,2,FALSE), " ")</f>
        <v xml:space="preserve"> </v>
      </c>
      <c r="BD128" s="32"/>
      <c r="BE128" s="32"/>
      <c r="BF128" s="53"/>
      <c r="BG128" s="54" t="str">
        <f>IFERROR(VLOOKUP(June[[#This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54" t="str">
        <f>IFERROR(VLOOKUP(June[[#This Row],[Drug Name]],'Data Options'!$R$1:$S$100,2,FALSE), " ")</f>
        <v xml:space="preserve"> </v>
      </c>
      <c r="R129" s="32"/>
      <c r="S129" s="32"/>
      <c r="T129" s="53"/>
      <c r="U129" s="54" t="str">
        <f>IFERROR(VLOOKUP(June[[#This Row],[Drug Name2]],'Data Options'!$R$1:$S$100,2,FALSE), " ")</f>
        <v xml:space="preserve"> </v>
      </c>
      <c r="V129" s="32"/>
      <c r="W129" s="32"/>
      <c r="X129" s="53"/>
      <c r="Y129" s="54" t="str">
        <f>IFERROR(VLOOKUP(June[[#This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54" t="str">
        <f>IFERROR(VLOOKUP(June[[#This Row],[Drug Name4]],'Data Options'!$R$1:$S$100,2,FALSE), " ")</f>
        <v xml:space="preserve"> </v>
      </c>
      <c r="AI129" s="32"/>
      <c r="AJ129" s="32"/>
      <c r="AK129" s="53"/>
      <c r="AL129" s="54" t="str">
        <f>IFERROR(VLOOKUP(June[[#This Row],[Drug Name5]],'Data Options'!$R$1:$S$100,2,FALSE), " ")</f>
        <v xml:space="preserve"> </v>
      </c>
      <c r="AM129" s="32"/>
      <c r="AN129" s="32"/>
      <c r="AO129" s="53"/>
      <c r="AP129" s="54" t="str">
        <f>IFERROR(VLOOKUP(June[[#This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54" t="str">
        <f>IFERROR(VLOOKUP(June[[#This Row],[Drug Name7]],'Data Options'!$R$1:$S$100,2,FALSE), " ")</f>
        <v xml:space="preserve"> </v>
      </c>
      <c r="AZ129" s="32"/>
      <c r="BA129" s="32"/>
      <c r="BB129" s="53"/>
      <c r="BC129" s="54" t="str">
        <f>IFERROR(VLOOKUP(June[[#This Row],[Drug Name8]],'Data Options'!$R$1:$S$100,2,FALSE), " ")</f>
        <v xml:space="preserve"> </v>
      </c>
      <c r="BD129" s="32"/>
      <c r="BE129" s="32"/>
      <c r="BF129" s="53"/>
      <c r="BG129" s="54" t="str">
        <f>IFERROR(VLOOKUP(June[[#This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54" t="str">
        <f>IFERROR(VLOOKUP(June[[#This Row],[Drug Name]],'Data Options'!$R$1:$S$100,2,FALSE), " ")</f>
        <v xml:space="preserve"> </v>
      </c>
      <c r="R130" s="32"/>
      <c r="S130" s="32"/>
      <c r="T130" s="53"/>
      <c r="U130" s="54" t="str">
        <f>IFERROR(VLOOKUP(June[[#This Row],[Drug Name2]],'Data Options'!$R$1:$S$100,2,FALSE), " ")</f>
        <v xml:space="preserve"> </v>
      </c>
      <c r="V130" s="32"/>
      <c r="W130" s="32"/>
      <c r="X130" s="53"/>
      <c r="Y130" s="54" t="str">
        <f>IFERROR(VLOOKUP(June[[#This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54" t="str">
        <f>IFERROR(VLOOKUP(June[[#This Row],[Drug Name4]],'Data Options'!$R$1:$S$100,2,FALSE), " ")</f>
        <v xml:space="preserve"> </v>
      </c>
      <c r="AI130" s="32"/>
      <c r="AJ130" s="32"/>
      <c r="AK130" s="53"/>
      <c r="AL130" s="54" t="str">
        <f>IFERROR(VLOOKUP(June[[#This Row],[Drug Name5]],'Data Options'!$R$1:$S$100,2,FALSE), " ")</f>
        <v xml:space="preserve"> </v>
      </c>
      <c r="AM130" s="32"/>
      <c r="AN130" s="32"/>
      <c r="AO130" s="53"/>
      <c r="AP130" s="54" t="str">
        <f>IFERROR(VLOOKUP(June[[#This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54" t="str">
        <f>IFERROR(VLOOKUP(June[[#This Row],[Drug Name7]],'Data Options'!$R$1:$S$100,2,FALSE), " ")</f>
        <v xml:space="preserve"> </v>
      </c>
      <c r="AZ130" s="32"/>
      <c r="BA130" s="32"/>
      <c r="BB130" s="53"/>
      <c r="BC130" s="54" t="str">
        <f>IFERROR(VLOOKUP(June[[#This Row],[Drug Name8]],'Data Options'!$R$1:$S$100,2,FALSE), " ")</f>
        <v xml:space="preserve"> </v>
      </c>
      <c r="BD130" s="32"/>
      <c r="BE130" s="32"/>
      <c r="BF130" s="53"/>
      <c r="BG130" s="54" t="str">
        <f>IFERROR(VLOOKUP(June[[#This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54" t="str">
        <f>IFERROR(VLOOKUP(June[[#This Row],[Drug Name]],'Data Options'!$R$1:$S$100,2,FALSE), " ")</f>
        <v xml:space="preserve"> </v>
      </c>
      <c r="R131" s="32"/>
      <c r="S131" s="32"/>
      <c r="T131" s="53"/>
      <c r="U131" s="54" t="str">
        <f>IFERROR(VLOOKUP(June[[#This Row],[Drug Name2]],'Data Options'!$R$1:$S$100,2,FALSE), " ")</f>
        <v xml:space="preserve"> </v>
      </c>
      <c r="V131" s="32"/>
      <c r="W131" s="32"/>
      <c r="X131" s="53"/>
      <c r="Y131" s="54" t="str">
        <f>IFERROR(VLOOKUP(June[[#This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54" t="str">
        <f>IFERROR(VLOOKUP(June[[#This Row],[Drug Name4]],'Data Options'!$R$1:$S$100,2,FALSE), " ")</f>
        <v xml:space="preserve"> </v>
      </c>
      <c r="AI131" s="32"/>
      <c r="AJ131" s="32"/>
      <c r="AK131" s="53"/>
      <c r="AL131" s="54" t="str">
        <f>IFERROR(VLOOKUP(June[[#This Row],[Drug Name5]],'Data Options'!$R$1:$S$100,2,FALSE), " ")</f>
        <v xml:space="preserve"> </v>
      </c>
      <c r="AM131" s="32"/>
      <c r="AN131" s="32"/>
      <c r="AO131" s="53"/>
      <c r="AP131" s="54" t="str">
        <f>IFERROR(VLOOKUP(June[[#This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54" t="str">
        <f>IFERROR(VLOOKUP(June[[#This Row],[Drug Name7]],'Data Options'!$R$1:$S$100,2,FALSE), " ")</f>
        <v xml:space="preserve"> </v>
      </c>
      <c r="AZ131" s="32"/>
      <c r="BA131" s="32"/>
      <c r="BB131" s="53"/>
      <c r="BC131" s="54" t="str">
        <f>IFERROR(VLOOKUP(June[[#This Row],[Drug Name8]],'Data Options'!$R$1:$S$100,2,FALSE), " ")</f>
        <v xml:space="preserve"> </v>
      </c>
      <c r="BD131" s="32"/>
      <c r="BE131" s="32"/>
      <c r="BF131" s="53"/>
      <c r="BG131" s="54" t="str">
        <f>IFERROR(VLOOKUP(June[[#This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54" t="str">
        <f>IFERROR(VLOOKUP(June[[#This Row],[Drug Name]],'Data Options'!$R$1:$S$100,2,FALSE), " ")</f>
        <v xml:space="preserve"> </v>
      </c>
      <c r="R132" s="32"/>
      <c r="S132" s="32"/>
      <c r="T132" s="53"/>
      <c r="U132" s="54" t="str">
        <f>IFERROR(VLOOKUP(June[[#This Row],[Drug Name2]],'Data Options'!$R$1:$S$100,2,FALSE), " ")</f>
        <v xml:space="preserve"> </v>
      </c>
      <c r="V132" s="32"/>
      <c r="W132" s="32"/>
      <c r="X132" s="53"/>
      <c r="Y132" s="54" t="str">
        <f>IFERROR(VLOOKUP(June[[#This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54" t="str">
        <f>IFERROR(VLOOKUP(June[[#This Row],[Drug Name4]],'Data Options'!$R$1:$S$100,2,FALSE), " ")</f>
        <v xml:space="preserve"> </v>
      </c>
      <c r="AI132" s="32"/>
      <c r="AJ132" s="32"/>
      <c r="AK132" s="53"/>
      <c r="AL132" s="54" t="str">
        <f>IFERROR(VLOOKUP(June[[#This Row],[Drug Name5]],'Data Options'!$R$1:$S$100,2,FALSE), " ")</f>
        <v xml:space="preserve"> </v>
      </c>
      <c r="AM132" s="32"/>
      <c r="AN132" s="32"/>
      <c r="AO132" s="53"/>
      <c r="AP132" s="54" t="str">
        <f>IFERROR(VLOOKUP(June[[#This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54" t="str">
        <f>IFERROR(VLOOKUP(June[[#This Row],[Drug Name7]],'Data Options'!$R$1:$S$100,2,FALSE), " ")</f>
        <v xml:space="preserve"> </v>
      </c>
      <c r="AZ132" s="32"/>
      <c r="BA132" s="32"/>
      <c r="BB132" s="53"/>
      <c r="BC132" s="54" t="str">
        <f>IFERROR(VLOOKUP(June[[#This Row],[Drug Name8]],'Data Options'!$R$1:$S$100,2,FALSE), " ")</f>
        <v xml:space="preserve"> </v>
      </c>
      <c r="BD132" s="32"/>
      <c r="BE132" s="32"/>
      <c r="BF132" s="53"/>
      <c r="BG132" s="54" t="str">
        <f>IFERROR(VLOOKUP(June[[#This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54" t="str">
        <f>IFERROR(VLOOKUP(June[[#This Row],[Drug Name]],'Data Options'!$R$1:$S$100,2,FALSE), " ")</f>
        <v xml:space="preserve"> </v>
      </c>
      <c r="R133" s="32"/>
      <c r="S133" s="32"/>
      <c r="T133" s="53"/>
      <c r="U133" s="54" t="str">
        <f>IFERROR(VLOOKUP(June[[#This Row],[Drug Name2]],'Data Options'!$R$1:$S$100,2,FALSE), " ")</f>
        <v xml:space="preserve"> </v>
      </c>
      <c r="V133" s="32"/>
      <c r="W133" s="32"/>
      <c r="X133" s="53"/>
      <c r="Y133" s="54" t="str">
        <f>IFERROR(VLOOKUP(June[[#This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54" t="str">
        <f>IFERROR(VLOOKUP(June[[#This Row],[Drug Name4]],'Data Options'!$R$1:$S$100,2,FALSE), " ")</f>
        <v xml:space="preserve"> </v>
      </c>
      <c r="AI133" s="32"/>
      <c r="AJ133" s="32"/>
      <c r="AK133" s="53"/>
      <c r="AL133" s="54" t="str">
        <f>IFERROR(VLOOKUP(June[[#This Row],[Drug Name5]],'Data Options'!$R$1:$S$100,2,FALSE), " ")</f>
        <v xml:space="preserve"> </v>
      </c>
      <c r="AM133" s="32"/>
      <c r="AN133" s="32"/>
      <c r="AO133" s="53"/>
      <c r="AP133" s="54" t="str">
        <f>IFERROR(VLOOKUP(June[[#This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54" t="str">
        <f>IFERROR(VLOOKUP(June[[#This Row],[Drug Name7]],'Data Options'!$R$1:$S$100,2,FALSE), " ")</f>
        <v xml:space="preserve"> </v>
      </c>
      <c r="AZ133" s="32"/>
      <c r="BA133" s="32"/>
      <c r="BB133" s="53"/>
      <c r="BC133" s="54" t="str">
        <f>IFERROR(VLOOKUP(June[[#This Row],[Drug Name8]],'Data Options'!$R$1:$S$100,2,FALSE), " ")</f>
        <v xml:space="preserve"> </v>
      </c>
      <c r="BD133" s="32"/>
      <c r="BE133" s="32"/>
      <c r="BF133" s="53"/>
      <c r="BG133" s="54" t="str">
        <f>IFERROR(VLOOKUP(June[[#This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54" t="str">
        <f>IFERROR(VLOOKUP(June[[#This Row],[Drug Name]],'Data Options'!$R$1:$S$100,2,FALSE), " ")</f>
        <v xml:space="preserve"> </v>
      </c>
      <c r="R134" s="32"/>
      <c r="S134" s="32"/>
      <c r="T134" s="53"/>
      <c r="U134" s="54" t="str">
        <f>IFERROR(VLOOKUP(June[[#This Row],[Drug Name2]],'Data Options'!$R$1:$S$100,2,FALSE), " ")</f>
        <v xml:space="preserve"> </v>
      </c>
      <c r="V134" s="32"/>
      <c r="W134" s="32"/>
      <c r="X134" s="53"/>
      <c r="Y134" s="54" t="str">
        <f>IFERROR(VLOOKUP(June[[#This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54" t="str">
        <f>IFERROR(VLOOKUP(June[[#This Row],[Drug Name4]],'Data Options'!$R$1:$S$100,2,FALSE), " ")</f>
        <v xml:space="preserve"> </v>
      </c>
      <c r="AI134" s="32"/>
      <c r="AJ134" s="32"/>
      <c r="AK134" s="53"/>
      <c r="AL134" s="54" t="str">
        <f>IFERROR(VLOOKUP(June[[#This Row],[Drug Name5]],'Data Options'!$R$1:$S$100,2,FALSE), " ")</f>
        <v xml:space="preserve"> </v>
      </c>
      <c r="AM134" s="32"/>
      <c r="AN134" s="32"/>
      <c r="AO134" s="53"/>
      <c r="AP134" s="54" t="str">
        <f>IFERROR(VLOOKUP(June[[#This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54" t="str">
        <f>IFERROR(VLOOKUP(June[[#This Row],[Drug Name7]],'Data Options'!$R$1:$S$100,2,FALSE), " ")</f>
        <v xml:space="preserve"> </v>
      </c>
      <c r="AZ134" s="32"/>
      <c r="BA134" s="32"/>
      <c r="BB134" s="53"/>
      <c r="BC134" s="54" t="str">
        <f>IFERROR(VLOOKUP(June[[#This Row],[Drug Name8]],'Data Options'!$R$1:$S$100,2,FALSE), " ")</f>
        <v xml:space="preserve"> </v>
      </c>
      <c r="BD134" s="32"/>
      <c r="BE134" s="32"/>
      <c r="BF134" s="53"/>
      <c r="BG134" s="54" t="str">
        <f>IFERROR(VLOOKUP(June[[#This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54" t="str">
        <f>IFERROR(VLOOKUP(June[[#This Row],[Drug Name]],'Data Options'!$R$1:$S$100,2,FALSE), " ")</f>
        <v xml:space="preserve"> </v>
      </c>
      <c r="R135" s="32"/>
      <c r="S135" s="32"/>
      <c r="T135" s="53"/>
      <c r="U135" s="54" t="str">
        <f>IFERROR(VLOOKUP(June[[#This Row],[Drug Name2]],'Data Options'!$R$1:$S$100,2,FALSE), " ")</f>
        <v xml:space="preserve"> </v>
      </c>
      <c r="V135" s="32"/>
      <c r="W135" s="32"/>
      <c r="X135" s="53"/>
      <c r="Y135" s="54" t="str">
        <f>IFERROR(VLOOKUP(June[[#This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54" t="str">
        <f>IFERROR(VLOOKUP(June[[#This Row],[Drug Name4]],'Data Options'!$R$1:$S$100,2,FALSE), " ")</f>
        <v xml:space="preserve"> </v>
      </c>
      <c r="AI135" s="32"/>
      <c r="AJ135" s="32"/>
      <c r="AK135" s="53"/>
      <c r="AL135" s="54" t="str">
        <f>IFERROR(VLOOKUP(June[[#This Row],[Drug Name5]],'Data Options'!$R$1:$S$100,2,FALSE), " ")</f>
        <v xml:space="preserve"> </v>
      </c>
      <c r="AM135" s="32"/>
      <c r="AN135" s="32"/>
      <c r="AO135" s="53"/>
      <c r="AP135" s="54" t="str">
        <f>IFERROR(VLOOKUP(June[[#This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54" t="str">
        <f>IFERROR(VLOOKUP(June[[#This Row],[Drug Name7]],'Data Options'!$R$1:$S$100,2,FALSE), " ")</f>
        <v xml:space="preserve"> </v>
      </c>
      <c r="AZ135" s="32"/>
      <c r="BA135" s="32"/>
      <c r="BB135" s="53"/>
      <c r="BC135" s="54" t="str">
        <f>IFERROR(VLOOKUP(June[[#This Row],[Drug Name8]],'Data Options'!$R$1:$S$100,2,FALSE), " ")</f>
        <v xml:space="preserve"> </v>
      </c>
      <c r="BD135" s="32"/>
      <c r="BE135" s="32"/>
      <c r="BF135" s="53"/>
      <c r="BG135" s="54" t="str">
        <f>IFERROR(VLOOKUP(June[[#This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54" t="str">
        <f>IFERROR(VLOOKUP(June[[#This Row],[Drug Name]],'Data Options'!$R$1:$S$100,2,FALSE), " ")</f>
        <v xml:space="preserve"> </v>
      </c>
      <c r="R136" s="32"/>
      <c r="S136" s="32"/>
      <c r="T136" s="53"/>
      <c r="U136" s="54" t="str">
        <f>IFERROR(VLOOKUP(June[[#This Row],[Drug Name2]],'Data Options'!$R$1:$S$100,2,FALSE), " ")</f>
        <v xml:space="preserve"> </v>
      </c>
      <c r="V136" s="32"/>
      <c r="W136" s="32"/>
      <c r="X136" s="53"/>
      <c r="Y136" s="54" t="str">
        <f>IFERROR(VLOOKUP(June[[#This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54" t="str">
        <f>IFERROR(VLOOKUP(June[[#This Row],[Drug Name4]],'Data Options'!$R$1:$S$100,2,FALSE), " ")</f>
        <v xml:space="preserve"> </v>
      </c>
      <c r="AI136" s="32"/>
      <c r="AJ136" s="32"/>
      <c r="AK136" s="53"/>
      <c r="AL136" s="54" t="str">
        <f>IFERROR(VLOOKUP(June[[#This Row],[Drug Name5]],'Data Options'!$R$1:$S$100,2,FALSE), " ")</f>
        <v xml:space="preserve"> </v>
      </c>
      <c r="AM136" s="32"/>
      <c r="AN136" s="32"/>
      <c r="AO136" s="53"/>
      <c r="AP136" s="54" t="str">
        <f>IFERROR(VLOOKUP(June[[#This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54" t="str">
        <f>IFERROR(VLOOKUP(June[[#This Row],[Drug Name7]],'Data Options'!$R$1:$S$100,2,FALSE), " ")</f>
        <v xml:space="preserve"> </v>
      </c>
      <c r="AZ136" s="32"/>
      <c r="BA136" s="32"/>
      <c r="BB136" s="53"/>
      <c r="BC136" s="54" t="str">
        <f>IFERROR(VLOOKUP(June[[#This Row],[Drug Name8]],'Data Options'!$R$1:$S$100,2,FALSE), " ")</f>
        <v xml:space="preserve"> </v>
      </c>
      <c r="BD136" s="32"/>
      <c r="BE136" s="32"/>
      <c r="BF136" s="53"/>
      <c r="BG136" s="54" t="str">
        <f>IFERROR(VLOOKUP(June[[#This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54" t="str">
        <f>IFERROR(VLOOKUP(June[[#This Row],[Drug Name]],'Data Options'!$R$1:$S$100,2,FALSE), " ")</f>
        <v xml:space="preserve"> </v>
      </c>
      <c r="R137" s="32"/>
      <c r="S137" s="32"/>
      <c r="T137" s="53"/>
      <c r="U137" s="54" t="str">
        <f>IFERROR(VLOOKUP(June[[#This Row],[Drug Name2]],'Data Options'!$R$1:$S$100,2,FALSE), " ")</f>
        <v xml:space="preserve"> </v>
      </c>
      <c r="V137" s="32"/>
      <c r="W137" s="32"/>
      <c r="X137" s="53"/>
      <c r="Y137" s="54" t="str">
        <f>IFERROR(VLOOKUP(June[[#This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54" t="str">
        <f>IFERROR(VLOOKUP(June[[#This Row],[Drug Name4]],'Data Options'!$R$1:$S$100,2,FALSE), " ")</f>
        <v xml:space="preserve"> </v>
      </c>
      <c r="AI137" s="32"/>
      <c r="AJ137" s="32"/>
      <c r="AK137" s="53"/>
      <c r="AL137" s="54" t="str">
        <f>IFERROR(VLOOKUP(June[[#This Row],[Drug Name5]],'Data Options'!$R$1:$S$100,2,FALSE), " ")</f>
        <v xml:space="preserve"> </v>
      </c>
      <c r="AM137" s="32"/>
      <c r="AN137" s="32"/>
      <c r="AO137" s="53"/>
      <c r="AP137" s="54" t="str">
        <f>IFERROR(VLOOKUP(June[[#This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54" t="str">
        <f>IFERROR(VLOOKUP(June[[#This Row],[Drug Name7]],'Data Options'!$R$1:$S$100,2,FALSE), " ")</f>
        <v xml:space="preserve"> </v>
      </c>
      <c r="AZ137" s="32"/>
      <c r="BA137" s="32"/>
      <c r="BB137" s="53"/>
      <c r="BC137" s="54" t="str">
        <f>IFERROR(VLOOKUP(June[[#This Row],[Drug Name8]],'Data Options'!$R$1:$S$100,2,FALSE), " ")</f>
        <v xml:space="preserve"> </v>
      </c>
      <c r="BD137" s="32"/>
      <c r="BE137" s="32"/>
      <c r="BF137" s="53"/>
      <c r="BG137" s="54" t="str">
        <f>IFERROR(VLOOKUP(June[[#This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54" t="str">
        <f>IFERROR(VLOOKUP(June[[#This Row],[Drug Name]],'Data Options'!$R$1:$S$100,2,FALSE), " ")</f>
        <v xml:space="preserve"> </v>
      </c>
      <c r="R138" s="32"/>
      <c r="S138" s="32"/>
      <c r="T138" s="53"/>
      <c r="U138" s="54" t="str">
        <f>IFERROR(VLOOKUP(June[[#This Row],[Drug Name2]],'Data Options'!$R$1:$S$100,2,FALSE), " ")</f>
        <v xml:space="preserve"> </v>
      </c>
      <c r="V138" s="32"/>
      <c r="W138" s="32"/>
      <c r="X138" s="53"/>
      <c r="Y138" s="54" t="str">
        <f>IFERROR(VLOOKUP(June[[#This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54" t="str">
        <f>IFERROR(VLOOKUP(June[[#This Row],[Drug Name4]],'Data Options'!$R$1:$S$100,2,FALSE), " ")</f>
        <v xml:space="preserve"> </v>
      </c>
      <c r="AI138" s="32"/>
      <c r="AJ138" s="32"/>
      <c r="AK138" s="53"/>
      <c r="AL138" s="54" t="str">
        <f>IFERROR(VLOOKUP(June[[#This Row],[Drug Name5]],'Data Options'!$R$1:$S$100,2,FALSE), " ")</f>
        <v xml:space="preserve"> </v>
      </c>
      <c r="AM138" s="32"/>
      <c r="AN138" s="32"/>
      <c r="AO138" s="53"/>
      <c r="AP138" s="54" t="str">
        <f>IFERROR(VLOOKUP(June[[#This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54" t="str">
        <f>IFERROR(VLOOKUP(June[[#This Row],[Drug Name7]],'Data Options'!$R$1:$S$100,2,FALSE), " ")</f>
        <v xml:space="preserve"> </v>
      </c>
      <c r="AZ138" s="32"/>
      <c r="BA138" s="32"/>
      <c r="BB138" s="53"/>
      <c r="BC138" s="54" t="str">
        <f>IFERROR(VLOOKUP(June[[#This Row],[Drug Name8]],'Data Options'!$R$1:$S$100,2,FALSE), " ")</f>
        <v xml:space="preserve"> </v>
      </c>
      <c r="BD138" s="32"/>
      <c r="BE138" s="32"/>
      <c r="BF138" s="53"/>
      <c r="BG138" s="54" t="str">
        <f>IFERROR(VLOOKUP(June[[#This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54" t="str">
        <f>IFERROR(VLOOKUP(June[[#This Row],[Drug Name]],'Data Options'!$R$1:$S$100,2,FALSE), " ")</f>
        <v xml:space="preserve"> </v>
      </c>
      <c r="R139" s="32"/>
      <c r="S139" s="32"/>
      <c r="T139" s="53"/>
      <c r="U139" s="54" t="str">
        <f>IFERROR(VLOOKUP(June[[#This Row],[Drug Name2]],'Data Options'!$R$1:$S$100,2,FALSE), " ")</f>
        <v xml:space="preserve"> </v>
      </c>
      <c r="V139" s="32"/>
      <c r="W139" s="32"/>
      <c r="X139" s="53"/>
      <c r="Y139" s="54" t="str">
        <f>IFERROR(VLOOKUP(June[[#This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54" t="str">
        <f>IFERROR(VLOOKUP(June[[#This Row],[Drug Name4]],'Data Options'!$R$1:$S$100,2,FALSE), " ")</f>
        <v xml:space="preserve"> </v>
      </c>
      <c r="AI139" s="32"/>
      <c r="AJ139" s="32"/>
      <c r="AK139" s="53"/>
      <c r="AL139" s="54" t="str">
        <f>IFERROR(VLOOKUP(June[[#This Row],[Drug Name5]],'Data Options'!$R$1:$S$100,2,FALSE), " ")</f>
        <v xml:space="preserve"> </v>
      </c>
      <c r="AM139" s="32"/>
      <c r="AN139" s="32"/>
      <c r="AO139" s="53"/>
      <c r="AP139" s="54" t="str">
        <f>IFERROR(VLOOKUP(June[[#This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54" t="str">
        <f>IFERROR(VLOOKUP(June[[#This Row],[Drug Name7]],'Data Options'!$R$1:$S$100,2,FALSE), " ")</f>
        <v xml:space="preserve"> </v>
      </c>
      <c r="AZ139" s="32"/>
      <c r="BA139" s="32"/>
      <c r="BB139" s="53"/>
      <c r="BC139" s="54" t="str">
        <f>IFERROR(VLOOKUP(June[[#This Row],[Drug Name8]],'Data Options'!$R$1:$S$100,2,FALSE), " ")</f>
        <v xml:space="preserve"> </v>
      </c>
      <c r="BD139" s="32"/>
      <c r="BE139" s="32"/>
      <c r="BF139" s="53"/>
      <c r="BG139" s="54" t="str">
        <f>IFERROR(VLOOKUP(June[[#This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54" t="str">
        <f>IFERROR(VLOOKUP(June[[#This Row],[Drug Name]],'Data Options'!$R$1:$S$100,2,FALSE), " ")</f>
        <v xml:space="preserve"> </v>
      </c>
      <c r="R140" s="32"/>
      <c r="S140" s="32"/>
      <c r="T140" s="53"/>
      <c r="U140" s="54" t="str">
        <f>IFERROR(VLOOKUP(June[[#This Row],[Drug Name2]],'Data Options'!$R$1:$S$100,2,FALSE), " ")</f>
        <v xml:space="preserve"> </v>
      </c>
      <c r="V140" s="32"/>
      <c r="W140" s="32"/>
      <c r="X140" s="53"/>
      <c r="Y140" s="54" t="str">
        <f>IFERROR(VLOOKUP(June[[#This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54" t="str">
        <f>IFERROR(VLOOKUP(June[[#This Row],[Drug Name4]],'Data Options'!$R$1:$S$100,2,FALSE), " ")</f>
        <v xml:space="preserve"> </v>
      </c>
      <c r="AI140" s="32"/>
      <c r="AJ140" s="32"/>
      <c r="AK140" s="53"/>
      <c r="AL140" s="54" t="str">
        <f>IFERROR(VLOOKUP(June[[#This Row],[Drug Name5]],'Data Options'!$R$1:$S$100,2,FALSE), " ")</f>
        <v xml:space="preserve"> </v>
      </c>
      <c r="AM140" s="32"/>
      <c r="AN140" s="32"/>
      <c r="AO140" s="53"/>
      <c r="AP140" s="54" t="str">
        <f>IFERROR(VLOOKUP(June[[#This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54" t="str">
        <f>IFERROR(VLOOKUP(June[[#This Row],[Drug Name7]],'Data Options'!$R$1:$S$100,2,FALSE), " ")</f>
        <v xml:space="preserve"> </v>
      </c>
      <c r="AZ140" s="32"/>
      <c r="BA140" s="32"/>
      <c r="BB140" s="53"/>
      <c r="BC140" s="54" t="str">
        <f>IFERROR(VLOOKUP(June[[#This Row],[Drug Name8]],'Data Options'!$R$1:$S$100,2,FALSE), " ")</f>
        <v xml:space="preserve"> </v>
      </c>
      <c r="BD140" s="32"/>
      <c r="BE140" s="32"/>
      <c r="BF140" s="53"/>
      <c r="BG140" s="54" t="str">
        <f>IFERROR(VLOOKUP(June[[#This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54" t="str">
        <f>IFERROR(VLOOKUP(June[[#This Row],[Drug Name]],'Data Options'!$R$1:$S$100,2,FALSE), " ")</f>
        <v xml:space="preserve"> </v>
      </c>
      <c r="R141" s="32"/>
      <c r="S141" s="32"/>
      <c r="T141" s="53"/>
      <c r="U141" s="54" t="str">
        <f>IFERROR(VLOOKUP(June[[#This Row],[Drug Name2]],'Data Options'!$R$1:$S$100,2,FALSE), " ")</f>
        <v xml:space="preserve"> </v>
      </c>
      <c r="V141" s="32"/>
      <c r="W141" s="32"/>
      <c r="X141" s="53"/>
      <c r="Y141" s="54" t="str">
        <f>IFERROR(VLOOKUP(June[[#This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54" t="str">
        <f>IFERROR(VLOOKUP(June[[#This Row],[Drug Name4]],'Data Options'!$R$1:$S$100,2,FALSE), " ")</f>
        <v xml:space="preserve"> </v>
      </c>
      <c r="AI141" s="32"/>
      <c r="AJ141" s="32"/>
      <c r="AK141" s="53"/>
      <c r="AL141" s="54" t="str">
        <f>IFERROR(VLOOKUP(June[[#This Row],[Drug Name5]],'Data Options'!$R$1:$S$100,2,FALSE), " ")</f>
        <v xml:space="preserve"> </v>
      </c>
      <c r="AM141" s="32"/>
      <c r="AN141" s="32"/>
      <c r="AO141" s="53"/>
      <c r="AP141" s="54" t="str">
        <f>IFERROR(VLOOKUP(June[[#This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54" t="str">
        <f>IFERROR(VLOOKUP(June[[#This Row],[Drug Name7]],'Data Options'!$R$1:$S$100,2,FALSE), " ")</f>
        <v xml:space="preserve"> </v>
      </c>
      <c r="AZ141" s="32"/>
      <c r="BA141" s="32"/>
      <c r="BB141" s="53"/>
      <c r="BC141" s="54" t="str">
        <f>IFERROR(VLOOKUP(June[[#This Row],[Drug Name8]],'Data Options'!$R$1:$S$100,2,FALSE), " ")</f>
        <v xml:space="preserve"> </v>
      </c>
      <c r="BD141" s="32"/>
      <c r="BE141" s="32"/>
      <c r="BF141" s="53"/>
      <c r="BG141" s="54" t="str">
        <f>IFERROR(VLOOKUP(June[[#This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54" t="str">
        <f>IFERROR(VLOOKUP(June[[#This Row],[Drug Name]],'Data Options'!$R$1:$S$100,2,FALSE), " ")</f>
        <v xml:space="preserve"> </v>
      </c>
      <c r="R142" s="32"/>
      <c r="S142" s="32"/>
      <c r="T142" s="53"/>
      <c r="U142" s="54" t="str">
        <f>IFERROR(VLOOKUP(June[[#This Row],[Drug Name2]],'Data Options'!$R$1:$S$100,2,FALSE), " ")</f>
        <v xml:space="preserve"> </v>
      </c>
      <c r="V142" s="32"/>
      <c r="W142" s="32"/>
      <c r="X142" s="53"/>
      <c r="Y142" s="54" t="str">
        <f>IFERROR(VLOOKUP(June[[#This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54" t="str">
        <f>IFERROR(VLOOKUP(June[[#This Row],[Drug Name4]],'Data Options'!$R$1:$S$100,2,FALSE), " ")</f>
        <v xml:space="preserve"> </v>
      </c>
      <c r="AI142" s="32"/>
      <c r="AJ142" s="32"/>
      <c r="AK142" s="53"/>
      <c r="AL142" s="54" t="str">
        <f>IFERROR(VLOOKUP(June[[#This Row],[Drug Name5]],'Data Options'!$R$1:$S$100,2,FALSE), " ")</f>
        <v xml:space="preserve"> </v>
      </c>
      <c r="AM142" s="32"/>
      <c r="AN142" s="32"/>
      <c r="AO142" s="53"/>
      <c r="AP142" s="54" t="str">
        <f>IFERROR(VLOOKUP(June[[#This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54" t="str">
        <f>IFERROR(VLOOKUP(June[[#This Row],[Drug Name7]],'Data Options'!$R$1:$S$100,2,FALSE), " ")</f>
        <v xml:space="preserve"> </v>
      </c>
      <c r="AZ142" s="32"/>
      <c r="BA142" s="32"/>
      <c r="BB142" s="53"/>
      <c r="BC142" s="54" t="str">
        <f>IFERROR(VLOOKUP(June[[#This Row],[Drug Name8]],'Data Options'!$R$1:$S$100,2,FALSE), " ")</f>
        <v xml:space="preserve"> </v>
      </c>
      <c r="BD142" s="32"/>
      <c r="BE142" s="32"/>
      <c r="BF142" s="53"/>
      <c r="BG142" s="54" t="str">
        <f>IFERROR(VLOOKUP(June[[#This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54" t="str">
        <f>IFERROR(VLOOKUP(June[[#This Row],[Drug Name]],'Data Options'!$R$1:$S$100,2,FALSE), " ")</f>
        <v xml:space="preserve"> </v>
      </c>
      <c r="R143" s="32"/>
      <c r="S143" s="32"/>
      <c r="T143" s="53"/>
      <c r="U143" s="54" t="str">
        <f>IFERROR(VLOOKUP(June[[#This Row],[Drug Name2]],'Data Options'!$R$1:$S$100,2,FALSE), " ")</f>
        <v xml:space="preserve"> </v>
      </c>
      <c r="V143" s="32"/>
      <c r="W143" s="32"/>
      <c r="X143" s="53"/>
      <c r="Y143" s="54" t="str">
        <f>IFERROR(VLOOKUP(June[[#This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54" t="str">
        <f>IFERROR(VLOOKUP(June[[#This Row],[Drug Name4]],'Data Options'!$R$1:$S$100,2,FALSE), " ")</f>
        <v xml:space="preserve"> </v>
      </c>
      <c r="AI143" s="32"/>
      <c r="AJ143" s="32"/>
      <c r="AK143" s="53"/>
      <c r="AL143" s="54" t="str">
        <f>IFERROR(VLOOKUP(June[[#This Row],[Drug Name5]],'Data Options'!$R$1:$S$100,2,FALSE), " ")</f>
        <v xml:space="preserve"> </v>
      </c>
      <c r="AM143" s="32"/>
      <c r="AN143" s="32"/>
      <c r="AO143" s="53"/>
      <c r="AP143" s="54" t="str">
        <f>IFERROR(VLOOKUP(June[[#This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54" t="str">
        <f>IFERROR(VLOOKUP(June[[#This Row],[Drug Name7]],'Data Options'!$R$1:$S$100,2,FALSE), " ")</f>
        <v xml:space="preserve"> </v>
      </c>
      <c r="AZ143" s="32"/>
      <c r="BA143" s="32"/>
      <c r="BB143" s="53"/>
      <c r="BC143" s="54" t="str">
        <f>IFERROR(VLOOKUP(June[[#This Row],[Drug Name8]],'Data Options'!$R$1:$S$100,2,FALSE), " ")</f>
        <v xml:space="preserve"> </v>
      </c>
      <c r="BD143" s="32"/>
      <c r="BE143" s="32"/>
      <c r="BF143" s="53"/>
      <c r="BG143" s="54" t="str">
        <f>IFERROR(VLOOKUP(June[[#This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54" t="str">
        <f>IFERROR(VLOOKUP(June[[#This Row],[Drug Name]],'Data Options'!$R$1:$S$100,2,FALSE), " ")</f>
        <v xml:space="preserve"> </v>
      </c>
      <c r="R144" s="32"/>
      <c r="S144" s="32"/>
      <c r="T144" s="53"/>
      <c r="U144" s="54" t="str">
        <f>IFERROR(VLOOKUP(June[[#This Row],[Drug Name2]],'Data Options'!$R$1:$S$100,2,FALSE), " ")</f>
        <v xml:space="preserve"> </v>
      </c>
      <c r="V144" s="32"/>
      <c r="W144" s="32"/>
      <c r="X144" s="53"/>
      <c r="Y144" s="54" t="str">
        <f>IFERROR(VLOOKUP(June[[#This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54" t="str">
        <f>IFERROR(VLOOKUP(June[[#This Row],[Drug Name4]],'Data Options'!$R$1:$S$100,2,FALSE), " ")</f>
        <v xml:space="preserve"> </v>
      </c>
      <c r="AI144" s="32"/>
      <c r="AJ144" s="32"/>
      <c r="AK144" s="53"/>
      <c r="AL144" s="54" t="str">
        <f>IFERROR(VLOOKUP(June[[#This Row],[Drug Name5]],'Data Options'!$R$1:$S$100,2,FALSE), " ")</f>
        <v xml:space="preserve"> </v>
      </c>
      <c r="AM144" s="32"/>
      <c r="AN144" s="32"/>
      <c r="AO144" s="53"/>
      <c r="AP144" s="54" t="str">
        <f>IFERROR(VLOOKUP(June[[#This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54" t="str">
        <f>IFERROR(VLOOKUP(June[[#This Row],[Drug Name7]],'Data Options'!$R$1:$S$100,2,FALSE), " ")</f>
        <v xml:space="preserve"> </v>
      </c>
      <c r="AZ144" s="32"/>
      <c r="BA144" s="32"/>
      <c r="BB144" s="53"/>
      <c r="BC144" s="54" t="str">
        <f>IFERROR(VLOOKUP(June[[#This Row],[Drug Name8]],'Data Options'!$R$1:$S$100,2,FALSE), " ")</f>
        <v xml:space="preserve"> </v>
      </c>
      <c r="BD144" s="32"/>
      <c r="BE144" s="32"/>
      <c r="BF144" s="53"/>
      <c r="BG144" s="54" t="str">
        <f>IFERROR(VLOOKUP(June[[#This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54" t="str">
        <f>IFERROR(VLOOKUP(June[[#This Row],[Drug Name]],'Data Options'!$R$1:$S$100,2,FALSE), " ")</f>
        <v xml:space="preserve"> </v>
      </c>
      <c r="R145" s="32"/>
      <c r="S145" s="32"/>
      <c r="T145" s="53"/>
      <c r="U145" s="54" t="str">
        <f>IFERROR(VLOOKUP(June[[#This Row],[Drug Name2]],'Data Options'!$R$1:$S$100,2,FALSE), " ")</f>
        <v xml:space="preserve"> </v>
      </c>
      <c r="V145" s="32"/>
      <c r="W145" s="32"/>
      <c r="X145" s="53"/>
      <c r="Y145" s="54" t="str">
        <f>IFERROR(VLOOKUP(June[[#This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54" t="str">
        <f>IFERROR(VLOOKUP(June[[#This Row],[Drug Name4]],'Data Options'!$R$1:$S$100,2,FALSE), " ")</f>
        <v xml:space="preserve"> </v>
      </c>
      <c r="AI145" s="32"/>
      <c r="AJ145" s="32"/>
      <c r="AK145" s="53"/>
      <c r="AL145" s="54" t="str">
        <f>IFERROR(VLOOKUP(June[[#This Row],[Drug Name5]],'Data Options'!$R$1:$S$100,2,FALSE), " ")</f>
        <v xml:space="preserve"> </v>
      </c>
      <c r="AM145" s="32"/>
      <c r="AN145" s="32"/>
      <c r="AO145" s="53"/>
      <c r="AP145" s="54" t="str">
        <f>IFERROR(VLOOKUP(June[[#This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54" t="str">
        <f>IFERROR(VLOOKUP(June[[#This Row],[Drug Name7]],'Data Options'!$R$1:$S$100,2,FALSE), " ")</f>
        <v xml:space="preserve"> </v>
      </c>
      <c r="AZ145" s="32"/>
      <c r="BA145" s="32"/>
      <c r="BB145" s="53"/>
      <c r="BC145" s="54" t="str">
        <f>IFERROR(VLOOKUP(June[[#This Row],[Drug Name8]],'Data Options'!$R$1:$S$100,2,FALSE), " ")</f>
        <v xml:space="preserve"> </v>
      </c>
      <c r="BD145" s="32"/>
      <c r="BE145" s="32"/>
      <c r="BF145" s="53"/>
      <c r="BG145" s="54" t="str">
        <f>IFERROR(VLOOKUP(June[[#This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54" t="str">
        <f>IFERROR(VLOOKUP(June[[#This Row],[Drug Name]],'Data Options'!$R$1:$S$100,2,FALSE), " ")</f>
        <v xml:space="preserve"> </v>
      </c>
      <c r="R146" s="32"/>
      <c r="S146" s="32"/>
      <c r="T146" s="53"/>
      <c r="U146" s="54" t="str">
        <f>IFERROR(VLOOKUP(June[[#This Row],[Drug Name2]],'Data Options'!$R$1:$S$100,2,FALSE), " ")</f>
        <v xml:space="preserve"> </v>
      </c>
      <c r="V146" s="32"/>
      <c r="W146" s="32"/>
      <c r="X146" s="53"/>
      <c r="Y146" s="54" t="str">
        <f>IFERROR(VLOOKUP(June[[#This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54" t="str">
        <f>IFERROR(VLOOKUP(June[[#This Row],[Drug Name4]],'Data Options'!$R$1:$S$100,2,FALSE), " ")</f>
        <v xml:space="preserve"> </v>
      </c>
      <c r="AI146" s="32"/>
      <c r="AJ146" s="32"/>
      <c r="AK146" s="53"/>
      <c r="AL146" s="54" t="str">
        <f>IFERROR(VLOOKUP(June[[#This Row],[Drug Name5]],'Data Options'!$R$1:$S$100,2,FALSE), " ")</f>
        <v xml:space="preserve"> </v>
      </c>
      <c r="AM146" s="32"/>
      <c r="AN146" s="32"/>
      <c r="AO146" s="53"/>
      <c r="AP146" s="54" t="str">
        <f>IFERROR(VLOOKUP(June[[#This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54" t="str">
        <f>IFERROR(VLOOKUP(June[[#This Row],[Drug Name7]],'Data Options'!$R$1:$S$100,2,FALSE), " ")</f>
        <v xml:space="preserve"> </v>
      </c>
      <c r="AZ146" s="32"/>
      <c r="BA146" s="32"/>
      <c r="BB146" s="53"/>
      <c r="BC146" s="54" t="str">
        <f>IFERROR(VLOOKUP(June[[#This Row],[Drug Name8]],'Data Options'!$R$1:$S$100,2,FALSE), " ")</f>
        <v xml:space="preserve"> </v>
      </c>
      <c r="BD146" s="32"/>
      <c r="BE146" s="32"/>
      <c r="BF146" s="53"/>
      <c r="BG146" s="54" t="str">
        <f>IFERROR(VLOOKUP(June[[#This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54" t="str">
        <f>IFERROR(VLOOKUP(June[[#This Row],[Drug Name]],'Data Options'!$R$1:$S$100,2,FALSE), " ")</f>
        <v xml:space="preserve"> </v>
      </c>
      <c r="R147" s="32"/>
      <c r="S147" s="32"/>
      <c r="T147" s="53"/>
      <c r="U147" s="54" t="str">
        <f>IFERROR(VLOOKUP(June[[#This Row],[Drug Name2]],'Data Options'!$R$1:$S$100,2,FALSE), " ")</f>
        <v xml:space="preserve"> </v>
      </c>
      <c r="V147" s="32"/>
      <c r="W147" s="32"/>
      <c r="X147" s="53"/>
      <c r="Y147" s="54" t="str">
        <f>IFERROR(VLOOKUP(June[[#This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54" t="str">
        <f>IFERROR(VLOOKUP(June[[#This Row],[Drug Name4]],'Data Options'!$R$1:$S$100,2,FALSE), " ")</f>
        <v xml:space="preserve"> </v>
      </c>
      <c r="AI147" s="32"/>
      <c r="AJ147" s="32"/>
      <c r="AK147" s="53"/>
      <c r="AL147" s="54" t="str">
        <f>IFERROR(VLOOKUP(June[[#This Row],[Drug Name5]],'Data Options'!$R$1:$S$100,2,FALSE), " ")</f>
        <v xml:space="preserve"> </v>
      </c>
      <c r="AM147" s="32"/>
      <c r="AN147" s="32"/>
      <c r="AO147" s="53"/>
      <c r="AP147" s="54" t="str">
        <f>IFERROR(VLOOKUP(June[[#This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54" t="str">
        <f>IFERROR(VLOOKUP(June[[#This Row],[Drug Name7]],'Data Options'!$R$1:$S$100,2,FALSE), " ")</f>
        <v xml:space="preserve"> </v>
      </c>
      <c r="AZ147" s="32"/>
      <c r="BA147" s="32"/>
      <c r="BB147" s="53"/>
      <c r="BC147" s="54" t="str">
        <f>IFERROR(VLOOKUP(June[[#This Row],[Drug Name8]],'Data Options'!$R$1:$S$100,2,FALSE), " ")</f>
        <v xml:space="preserve"> </v>
      </c>
      <c r="BD147" s="32"/>
      <c r="BE147" s="32"/>
      <c r="BF147" s="53"/>
      <c r="BG147" s="54" t="str">
        <f>IFERROR(VLOOKUP(June[[#This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54" t="str">
        <f>IFERROR(VLOOKUP(June[[#This Row],[Drug Name]],'Data Options'!$R$1:$S$100,2,FALSE), " ")</f>
        <v xml:space="preserve"> </v>
      </c>
      <c r="R148" s="32"/>
      <c r="S148" s="32"/>
      <c r="T148" s="53"/>
      <c r="U148" s="54" t="str">
        <f>IFERROR(VLOOKUP(June[[#This Row],[Drug Name2]],'Data Options'!$R$1:$S$100,2,FALSE), " ")</f>
        <v xml:space="preserve"> </v>
      </c>
      <c r="V148" s="32"/>
      <c r="W148" s="32"/>
      <c r="X148" s="53"/>
      <c r="Y148" s="54" t="str">
        <f>IFERROR(VLOOKUP(June[[#This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54" t="str">
        <f>IFERROR(VLOOKUP(June[[#This Row],[Drug Name4]],'Data Options'!$R$1:$S$100,2,FALSE), " ")</f>
        <v xml:space="preserve"> </v>
      </c>
      <c r="AI148" s="32"/>
      <c r="AJ148" s="32"/>
      <c r="AK148" s="53"/>
      <c r="AL148" s="54" t="str">
        <f>IFERROR(VLOOKUP(June[[#This Row],[Drug Name5]],'Data Options'!$R$1:$S$100,2,FALSE), " ")</f>
        <v xml:space="preserve"> </v>
      </c>
      <c r="AM148" s="32"/>
      <c r="AN148" s="32"/>
      <c r="AO148" s="53"/>
      <c r="AP148" s="54" t="str">
        <f>IFERROR(VLOOKUP(June[[#This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54" t="str">
        <f>IFERROR(VLOOKUP(June[[#This Row],[Drug Name7]],'Data Options'!$R$1:$S$100,2,FALSE), " ")</f>
        <v xml:space="preserve"> </v>
      </c>
      <c r="AZ148" s="32"/>
      <c r="BA148" s="32"/>
      <c r="BB148" s="53"/>
      <c r="BC148" s="54" t="str">
        <f>IFERROR(VLOOKUP(June[[#This Row],[Drug Name8]],'Data Options'!$R$1:$S$100,2,FALSE), " ")</f>
        <v xml:space="preserve"> </v>
      </c>
      <c r="BD148" s="32"/>
      <c r="BE148" s="32"/>
      <c r="BF148" s="53"/>
      <c r="BG148" s="54" t="str">
        <f>IFERROR(VLOOKUP(June[[#This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54" t="str">
        <f>IFERROR(VLOOKUP(June[[#This Row],[Drug Name]],'Data Options'!$R$1:$S$100,2,FALSE), " ")</f>
        <v xml:space="preserve"> </v>
      </c>
      <c r="R149" s="32"/>
      <c r="S149" s="32"/>
      <c r="T149" s="53"/>
      <c r="U149" s="54" t="str">
        <f>IFERROR(VLOOKUP(June[[#This Row],[Drug Name2]],'Data Options'!$R$1:$S$100,2,FALSE), " ")</f>
        <v xml:space="preserve"> </v>
      </c>
      <c r="V149" s="32"/>
      <c r="W149" s="32"/>
      <c r="X149" s="53"/>
      <c r="Y149" s="54" t="str">
        <f>IFERROR(VLOOKUP(June[[#This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54" t="str">
        <f>IFERROR(VLOOKUP(June[[#This Row],[Drug Name4]],'Data Options'!$R$1:$S$100,2,FALSE), " ")</f>
        <v xml:space="preserve"> </v>
      </c>
      <c r="AI149" s="32"/>
      <c r="AJ149" s="32"/>
      <c r="AK149" s="53"/>
      <c r="AL149" s="54" t="str">
        <f>IFERROR(VLOOKUP(June[[#This Row],[Drug Name5]],'Data Options'!$R$1:$S$100,2,FALSE), " ")</f>
        <v xml:space="preserve"> </v>
      </c>
      <c r="AM149" s="32"/>
      <c r="AN149" s="32"/>
      <c r="AO149" s="53"/>
      <c r="AP149" s="54" t="str">
        <f>IFERROR(VLOOKUP(June[[#This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54" t="str">
        <f>IFERROR(VLOOKUP(June[[#This Row],[Drug Name7]],'Data Options'!$R$1:$S$100,2,FALSE), " ")</f>
        <v xml:space="preserve"> </v>
      </c>
      <c r="AZ149" s="32"/>
      <c r="BA149" s="32"/>
      <c r="BB149" s="53"/>
      <c r="BC149" s="54" t="str">
        <f>IFERROR(VLOOKUP(June[[#This Row],[Drug Name8]],'Data Options'!$R$1:$S$100,2,FALSE), " ")</f>
        <v xml:space="preserve"> </v>
      </c>
      <c r="BD149" s="32"/>
      <c r="BE149" s="32"/>
      <c r="BF149" s="53"/>
      <c r="BG149" s="54" t="str">
        <f>IFERROR(VLOOKUP(June[[#This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54" t="str">
        <f>IFERROR(VLOOKUP(June[[#This Row],[Drug Name]],'Data Options'!$R$1:$S$100,2,FALSE), " ")</f>
        <v xml:space="preserve"> </v>
      </c>
      <c r="R150" s="32"/>
      <c r="S150" s="32"/>
      <c r="T150" s="53"/>
      <c r="U150" s="54" t="str">
        <f>IFERROR(VLOOKUP(June[[#This Row],[Drug Name2]],'Data Options'!$R$1:$S$100,2,FALSE), " ")</f>
        <v xml:space="preserve"> </v>
      </c>
      <c r="V150" s="32"/>
      <c r="W150" s="32"/>
      <c r="X150" s="53"/>
      <c r="Y150" s="54" t="str">
        <f>IFERROR(VLOOKUP(June[[#This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54" t="str">
        <f>IFERROR(VLOOKUP(June[[#This Row],[Drug Name4]],'Data Options'!$R$1:$S$100,2,FALSE), " ")</f>
        <v xml:space="preserve"> </v>
      </c>
      <c r="AI150" s="32"/>
      <c r="AJ150" s="32"/>
      <c r="AK150" s="53"/>
      <c r="AL150" s="54" t="str">
        <f>IFERROR(VLOOKUP(June[[#This Row],[Drug Name5]],'Data Options'!$R$1:$S$100,2,FALSE), " ")</f>
        <v xml:space="preserve"> </v>
      </c>
      <c r="AM150" s="32"/>
      <c r="AN150" s="32"/>
      <c r="AO150" s="53"/>
      <c r="AP150" s="54" t="str">
        <f>IFERROR(VLOOKUP(June[[#This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54" t="str">
        <f>IFERROR(VLOOKUP(June[[#This Row],[Drug Name7]],'Data Options'!$R$1:$S$100,2,FALSE), " ")</f>
        <v xml:space="preserve"> </v>
      </c>
      <c r="AZ150" s="32"/>
      <c r="BA150" s="32"/>
      <c r="BB150" s="53"/>
      <c r="BC150" s="54" t="str">
        <f>IFERROR(VLOOKUP(June[[#This Row],[Drug Name8]],'Data Options'!$R$1:$S$100,2,FALSE), " ")</f>
        <v xml:space="preserve"> </v>
      </c>
      <c r="BD150" s="32"/>
      <c r="BE150" s="32"/>
      <c r="BF150" s="53"/>
      <c r="BG150" s="54" t="str">
        <f>IFERROR(VLOOKUP(June[[#This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54" t="str">
        <f>IFERROR(VLOOKUP(June[[#This Row],[Drug Name]],'Data Options'!$R$1:$S$100,2,FALSE), " ")</f>
        <v xml:space="preserve"> </v>
      </c>
      <c r="R151" s="32"/>
      <c r="S151" s="32"/>
      <c r="T151" s="53"/>
      <c r="U151" s="54" t="str">
        <f>IFERROR(VLOOKUP(June[[#This Row],[Drug Name2]],'Data Options'!$R$1:$S$100,2,FALSE), " ")</f>
        <v xml:space="preserve"> </v>
      </c>
      <c r="V151" s="32"/>
      <c r="W151" s="32"/>
      <c r="X151" s="53"/>
      <c r="Y151" s="54" t="str">
        <f>IFERROR(VLOOKUP(June[[#This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54" t="str">
        <f>IFERROR(VLOOKUP(June[[#This Row],[Drug Name4]],'Data Options'!$R$1:$S$100,2,FALSE), " ")</f>
        <v xml:space="preserve"> </v>
      </c>
      <c r="AI151" s="32"/>
      <c r="AJ151" s="32"/>
      <c r="AK151" s="53"/>
      <c r="AL151" s="54" t="str">
        <f>IFERROR(VLOOKUP(June[[#This Row],[Drug Name5]],'Data Options'!$R$1:$S$100,2,FALSE), " ")</f>
        <v xml:space="preserve"> </v>
      </c>
      <c r="AM151" s="32"/>
      <c r="AN151" s="32"/>
      <c r="AO151" s="53"/>
      <c r="AP151" s="54" t="str">
        <f>IFERROR(VLOOKUP(June[[#This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54" t="str">
        <f>IFERROR(VLOOKUP(June[[#This Row],[Drug Name7]],'Data Options'!$R$1:$S$100,2,FALSE), " ")</f>
        <v xml:space="preserve"> </v>
      </c>
      <c r="AZ151" s="32"/>
      <c r="BA151" s="32"/>
      <c r="BB151" s="53"/>
      <c r="BC151" s="54" t="str">
        <f>IFERROR(VLOOKUP(June[[#This Row],[Drug Name8]],'Data Options'!$R$1:$S$100,2,FALSE), " ")</f>
        <v xml:space="preserve"> </v>
      </c>
      <c r="BD151" s="32"/>
      <c r="BE151" s="32"/>
      <c r="BF151" s="53"/>
      <c r="BG151" s="54" t="str">
        <f>IFERROR(VLOOKUP(June[[#This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54" t="str">
        <f>IFERROR(VLOOKUP(June[[#This Row],[Drug Name]],'Data Options'!$R$1:$S$100,2,FALSE), " ")</f>
        <v xml:space="preserve"> </v>
      </c>
      <c r="R152" s="32"/>
      <c r="S152" s="32"/>
      <c r="T152" s="53"/>
      <c r="U152" s="54" t="str">
        <f>IFERROR(VLOOKUP(June[[#This Row],[Drug Name2]],'Data Options'!$R$1:$S$100,2,FALSE), " ")</f>
        <v xml:space="preserve"> </v>
      </c>
      <c r="V152" s="32"/>
      <c r="W152" s="32"/>
      <c r="X152" s="53"/>
      <c r="Y152" s="54" t="str">
        <f>IFERROR(VLOOKUP(June[[#This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54" t="str">
        <f>IFERROR(VLOOKUP(June[[#This Row],[Drug Name4]],'Data Options'!$R$1:$S$100,2,FALSE), " ")</f>
        <v xml:space="preserve"> </v>
      </c>
      <c r="AI152" s="32"/>
      <c r="AJ152" s="32"/>
      <c r="AK152" s="53"/>
      <c r="AL152" s="54" t="str">
        <f>IFERROR(VLOOKUP(June[[#This Row],[Drug Name5]],'Data Options'!$R$1:$S$100,2,FALSE), " ")</f>
        <v xml:space="preserve"> </v>
      </c>
      <c r="AM152" s="32"/>
      <c r="AN152" s="32"/>
      <c r="AO152" s="53"/>
      <c r="AP152" s="54" t="str">
        <f>IFERROR(VLOOKUP(June[[#This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54" t="str">
        <f>IFERROR(VLOOKUP(June[[#This Row],[Drug Name7]],'Data Options'!$R$1:$S$100,2,FALSE), " ")</f>
        <v xml:space="preserve"> </v>
      </c>
      <c r="AZ152" s="32"/>
      <c r="BA152" s="32"/>
      <c r="BB152" s="53"/>
      <c r="BC152" s="54" t="str">
        <f>IFERROR(VLOOKUP(June[[#This Row],[Drug Name8]],'Data Options'!$R$1:$S$100,2,FALSE), " ")</f>
        <v xml:space="preserve"> </v>
      </c>
      <c r="BD152" s="32"/>
      <c r="BE152" s="32"/>
      <c r="BF152" s="53"/>
      <c r="BG152" s="54" t="str">
        <f>IFERROR(VLOOKUP(June[[#This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54" t="str">
        <f>IFERROR(VLOOKUP(June[[#This Row],[Drug Name]],'Data Options'!$R$1:$S$100,2,FALSE), " ")</f>
        <v xml:space="preserve"> </v>
      </c>
      <c r="R153" s="32"/>
      <c r="S153" s="32"/>
      <c r="T153" s="53"/>
      <c r="U153" s="54" t="str">
        <f>IFERROR(VLOOKUP(June[[#This Row],[Drug Name2]],'Data Options'!$R$1:$S$100,2,FALSE), " ")</f>
        <v xml:space="preserve"> </v>
      </c>
      <c r="V153" s="32"/>
      <c r="W153" s="32"/>
      <c r="X153" s="53"/>
      <c r="Y153" s="54" t="str">
        <f>IFERROR(VLOOKUP(June[[#This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54" t="str">
        <f>IFERROR(VLOOKUP(June[[#This Row],[Drug Name4]],'Data Options'!$R$1:$S$100,2,FALSE), " ")</f>
        <v xml:space="preserve"> </v>
      </c>
      <c r="AI153" s="32"/>
      <c r="AJ153" s="32"/>
      <c r="AK153" s="53"/>
      <c r="AL153" s="54" t="str">
        <f>IFERROR(VLOOKUP(June[[#This Row],[Drug Name5]],'Data Options'!$R$1:$S$100,2,FALSE), " ")</f>
        <v xml:space="preserve"> </v>
      </c>
      <c r="AM153" s="32"/>
      <c r="AN153" s="32"/>
      <c r="AO153" s="53"/>
      <c r="AP153" s="54" t="str">
        <f>IFERROR(VLOOKUP(June[[#This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54" t="str">
        <f>IFERROR(VLOOKUP(June[[#This Row],[Drug Name7]],'Data Options'!$R$1:$S$100,2,FALSE), " ")</f>
        <v xml:space="preserve"> </v>
      </c>
      <c r="AZ153" s="32"/>
      <c r="BA153" s="32"/>
      <c r="BB153" s="53"/>
      <c r="BC153" s="54" t="str">
        <f>IFERROR(VLOOKUP(June[[#This Row],[Drug Name8]],'Data Options'!$R$1:$S$100,2,FALSE), " ")</f>
        <v xml:space="preserve"> </v>
      </c>
      <c r="BD153" s="32"/>
      <c r="BE153" s="32"/>
      <c r="BF153" s="53"/>
      <c r="BG153" s="54" t="str">
        <f>IFERROR(VLOOKUP(June[[#This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54" t="str">
        <f>IFERROR(VLOOKUP(June[[#This Row],[Drug Name]],'Data Options'!$R$1:$S$100,2,FALSE), " ")</f>
        <v xml:space="preserve"> </v>
      </c>
      <c r="R154" s="32"/>
      <c r="S154" s="32"/>
      <c r="T154" s="53"/>
      <c r="U154" s="54" t="str">
        <f>IFERROR(VLOOKUP(June[[#This Row],[Drug Name2]],'Data Options'!$R$1:$S$100,2,FALSE), " ")</f>
        <v xml:space="preserve"> </v>
      </c>
      <c r="V154" s="32"/>
      <c r="W154" s="32"/>
      <c r="X154" s="53"/>
      <c r="Y154" s="54" t="str">
        <f>IFERROR(VLOOKUP(June[[#This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54" t="str">
        <f>IFERROR(VLOOKUP(June[[#This Row],[Drug Name4]],'Data Options'!$R$1:$S$100,2,FALSE), " ")</f>
        <v xml:space="preserve"> </v>
      </c>
      <c r="AI154" s="32"/>
      <c r="AJ154" s="32"/>
      <c r="AK154" s="53"/>
      <c r="AL154" s="54" t="str">
        <f>IFERROR(VLOOKUP(June[[#This Row],[Drug Name5]],'Data Options'!$R$1:$S$100,2,FALSE), " ")</f>
        <v xml:space="preserve"> </v>
      </c>
      <c r="AM154" s="32"/>
      <c r="AN154" s="32"/>
      <c r="AO154" s="53"/>
      <c r="AP154" s="54" t="str">
        <f>IFERROR(VLOOKUP(June[[#This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54" t="str">
        <f>IFERROR(VLOOKUP(June[[#This Row],[Drug Name7]],'Data Options'!$R$1:$S$100,2,FALSE), " ")</f>
        <v xml:space="preserve"> </v>
      </c>
      <c r="AZ154" s="32"/>
      <c r="BA154" s="32"/>
      <c r="BB154" s="53"/>
      <c r="BC154" s="54" t="str">
        <f>IFERROR(VLOOKUP(June[[#This Row],[Drug Name8]],'Data Options'!$R$1:$S$100,2,FALSE), " ")</f>
        <v xml:space="preserve"> </v>
      </c>
      <c r="BD154" s="32"/>
      <c r="BE154" s="32"/>
      <c r="BF154" s="53"/>
      <c r="BG154" s="54" t="str">
        <f>IFERROR(VLOOKUP(June[[#This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54" t="str">
        <f>IFERROR(VLOOKUP(June[[#This Row],[Drug Name]],'Data Options'!$R$1:$S$100,2,FALSE), " ")</f>
        <v xml:space="preserve"> </v>
      </c>
      <c r="R155" s="32"/>
      <c r="S155" s="32"/>
      <c r="T155" s="53"/>
      <c r="U155" s="54" t="str">
        <f>IFERROR(VLOOKUP(June[[#This Row],[Drug Name2]],'Data Options'!$R$1:$S$100,2,FALSE), " ")</f>
        <v xml:space="preserve"> </v>
      </c>
      <c r="V155" s="32"/>
      <c r="W155" s="32"/>
      <c r="X155" s="53"/>
      <c r="Y155" s="54" t="str">
        <f>IFERROR(VLOOKUP(June[[#This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54" t="str">
        <f>IFERROR(VLOOKUP(June[[#This Row],[Drug Name4]],'Data Options'!$R$1:$S$100,2,FALSE), " ")</f>
        <v xml:space="preserve"> </v>
      </c>
      <c r="AI155" s="32"/>
      <c r="AJ155" s="32"/>
      <c r="AK155" s="53"/>
      <c r="AL155" s="54" t="str">
        <f>IFERROR(VLOOKUP(June[[#This Row],[Drug Name5]],'Data Options'!$R$1:$S$100,2,FALSE), " ")</f>
        <v xml:space="preserve"> </v>
      </c>
      <c r="AM155" s="32"/>
      <c r="AN155" s="32"/>
      <c r="AO155" s="53"/>
      <c r="AP155" s="54" t="str">
        <f>IFERROR(VLOOKUP(June[[#This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54" t="str">
        <f>IFERROR(VLOOKUP(June[[#This Row],[Drug Name7]],'Data Options'!$R$1:$S$100,2,FALSE), " ")</f>
        <v xml:space="preserve"> </v>
      </c>
      <c r="AZ155" s="32"/>
      <c r="BA155" s="32"/>
      <c r="BB155" s="53"/>
      <c r="BC155" s="54" t="str">
        <f>IFERROR(VLOOKUP(June[[#This Row],[Drug Name8]],'Data Options'!$R$1:$S$100,2,FALSE), " ")</f>
        <v xml:space="preserve"> </v>
      </c>
      <c r="BD155" s="32"/>
      <c r="BE155" s="32"/>
      <c r="BF155" s="53"/>
      <c r="BG155" s="54" t="str">
        <f>IFERROR(VLOOKUP(June[[#This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54" t="str">
        <f>IFERROR(VLOOKUP(June[[#This Row],[Drug Name]],'Data Options'!$R$1:$S$100,2,FALSE), " ")</f>
        <v xml:space="preserve"> </v>
      </c>
      <c r="R156" s="32"/>
      <c r="S156" s="32"/>
      <c r="T156" s="53"/>
      <c r="U156" s="54" t="str">
        <f>IFERROR(VLOOKUP(June[[#This Row],[Drug Name2]],'Data Options'!$R$1:$S$100,2,FALSE), " ")</f>
        <v xml:space="preserve"> </v>
      </c>
      <c r="V156" s="32"/>
      <c r="W156" s="32"/>
      <c r="X156" s="53"/>
      <c r="Y156" s="54" t="str">
        <f>IFERROR(VLOOKUP(June[[#This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54" t="str">
        <f>IFERROR(VLOOKUP(June[[#This Row],[Drug Name4]],'Data Options'!$R$1:$S$100,2,FALSE), " ")</f>
        <v xml:space="preserve"> </v>
      </c>
      <c r="AI156" s="32"/>
      <c r="AJ156" s="32"/>
      <c r="AK156" s="53"/>
      <c r="AL156" s="54" t="str">
        <f>IFERROR(VLOOKUP(June[[#This Row],[Drug Name5]],'Data Options'!$R$1:$S$100,2,FALSE), " ")</f>
        <v xml:space="preserve"> </v>
      </c>
      <c r="AM156" s="32"/>
      <c r="AN156" s="32"/>
      <c r="AO156" s="53"/>
      <c r="AP156" s="54" t="str">
        <f>IFERROR(VLOOKUP(June[[#This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54" t="str">
        <f>IFERROR(VLOOKUP(June[[#This Row],[Drug Name7]],'Data Options'!$R$1:$S$100,2,FALSE), " ")</f>
        <v xml:space="preserve"> </v>
      </c>
      <c r="AZ156" s="32"/>
      <c r="BA156" s="32"/>
      <c r="BB156" s="53"/>
      <c r="BC156" s="54" t="str">
        <f>IFERROR(VLOOKUP(June[[#This Row],[Drug Name8]],'Data Options'!$R$1:$S$100,2,FALSE), " ")</f>
        <v xml:space="preserve"> </v>
      </c>
      <c r="BD156" s="32"/>
      <c r="BE156" s="32"/>
      <c r="BF156" s="53"/>
      <c r="BG156" s="54" t="str">
        <f>IFERROR(VLOOKUP(June[[#This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54" t="str">
        <f>IFERROR(VLOOKUP(June[[#This Row],[Drug Name]],'Data Options'!$R$1:$S$100,2,FALSE), " ")</f>
        <v xml:space="preserve"> </v>
      </c>
      <c r="R157" s="32"/>
      <c r="S157" s="32"/>
      <c r="T157" s="53"/>
      <c r="U157" s="54" t="str">
        <f>IFERROR(VLOOKUP(June[[#This Row],[Drug Name2]],'Data Options'!$R$1:$S$100,2,FALSE), " ")</f>
        <v xml:space="preserve"> </v>
      </c>
      <c r="V157" s="32"/>
      <c r="W157" s="32"/>
      <c r="X157" s="53"/>
      <c r="Y157" s="54" t="str">
        <f>IFERROR(VLOOKUP(June[[#This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54" t="str">
        <f>IFERROR(VLOOKUP(June[[#This Row],[Drug Name4]],'Data Options'!$R$1:$S$100,2,FALSE), " ")</f>
        <v xml:space="preserve"> </v>
      </c>
      <c r="AI157" s="32"/>
      <c r="AJ157" s="32"/>
      <c r="AK157" s="53"/>
      <c r="AL157" s="54" t="str">
        <f>IFERROR(VLOOKUP(June[[#This Row],[Drug Name5]],'Data Options'!$R$1:$S$100,2,FALSE), " ")</f>
        <v xml:space="preserve"> </v>
      </c>
      <c r="AM157" s="32"/>
      <c r="AN157" s="32"/>
      <c r="AO157" s="53"/>
      <c r="AP157" s="54" t="str">
        <f>IFERROR(VLOOKUP(June[[#This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54" t="str">
        <f>IFERROR(VLOOKUP(June[[#This Row],[Drug Name7]],'Data Options'!$R$1:$S$100,2,FALSE), " ")</f>
        <v xml:space="preserve"> </v>
      </c>
      <c r="AZ157" s="32"/>
      <c r="BA157" s="32"/>
      <c r="BB157" s="53"/>
      <c r="BC157" s="54" t="str">
        <f>IFERROR(VLOOKUP(June[[#This Row],[Drug Name8]],'Data Options'!$R$1:$S$100,2,FALSE), " ")</f>
        <v xml:space="preserve"> </v>
      </c>
      <c r="BD157" s="32"/>
      <c r="BE157" s="32"/>
      <c r="BF157" s="53"/>
      <c r="BG157" s="54" t="str">
        <f>IFERROR(VLOOKUP(June[[#This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54" t="str">
        <f>IFERROR(VLOOKUP(June[[#This Row],[Drug Name]],'Data Options'!$R$1:$S$100,2,FALSE), " ")</f>
        <v xml:space="preserve"> </v>
      </c>
      <c r="R158" s="32"/>
      <c r="S158" s="32"/>
      <c r="T158" s="53"/>
      <c r="U158" s="54" t="str">
        <f>IFERROR(VLOOKUP(June[[#This Row],[Drug Name2]],'Data Options'!$R$1:$S$100,2,FALSE), " ")</f>
        <v xml:space="preserve"> </v>
      </c>
      <c r="V158" s="32"/>
      <c r="W158" s="32"/>
      <c r="X158" s="53"/>
      <c r="Y158" s="54" t="str">
        <f>IFERROR(VLOOKUP(June[[#This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54" t="str">
        <f>IFERROR(VLOOKUP(June[[#This Row],[Drug Name4]],'Data Options'!$R$1:$S$100,2,FALSE), " ")</f>
        <v xml:space="preserve"> </v>
      </c>
      <c r="AI158" s="32"/>
      <c r="AJ158" s="32"/>
      <c r="AK158" s="53"/>
      <c r="AL158" s="54" t="str">
        <f>IFERROR(VLOOKUP(June[[#This Row],[Drug Name5]],'Data Options'!$R$1:$S$100,2,FALSE), " ")</f>
        <v xml:space="preserve"> </v>
      </c>
      <c r="AM158" s="32"/>
      <c r="AN158" s="32"/>
      <c r="AO158" s="53"/>
      <c r="AP158" s="54" t="str">
        <f>IFERROR(VLOOKUP(June[[#This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54" t="str">
        <f>IFERROR(VLOOKUP(June[[#This Row],[Drug Name7]],'Data Options'!$R$1:$S$100,2,FALSE), " ")</f>
        <v xml:space="preserve"> </v>
      </c>
      <c r="AZ158" s="32"/>
      <c r="BA158" s="32"/>
      <c r="BB158" s="53"/>
      <c r="BC158" s="54" t="str">
        <f>IFERROR(VLOOKUP(June[[#This Row],[Drug Name8]],'Data Options'!$R$1:$S$100,2,FALSE), " ")</f>
        <v xml:space="preserve"> </v>
      </c>
      <c r="BD158" s="32"/>
      <c r="BE158" s="32"/>
      <c r="BF158" s="53"/>
      <c r="BG158" s="54" t="str">
        <f>IFERROR(VLOOKUP(June[[#This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54" t="str">
        <f>IFERROR(VLOOKUP(June[[#This Row],[Drug Name]],'Data Options'!$R$1:$S$100,2,FALSE), " ")</f>
        <v xml:space="preserve"> </v>
      </c>
      <c r="R159" s="32"/>
      <c r="S159" s="32"/>
      <c r="T159" s="53"/>
      <c r="U159" s="54" t="str">
        <f>IFERROR(VLOOKUP(June[[#This Row],[Drug Name2]],'Data Options'!$R$1:$S$100,2,FALSE), " ")</f>
        <v xml:space="preserve"> </v>
      </c>
      <c r="V159" s="32"/>
      <c r="W159" s="32"/>
      <c r="X159" s="53"/>
      <c r="Y159" s="54" t="str">
        <f>IFERROR(VLOOKUP(June[[#This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54" t="str">
        <f>IFERROR(VLOOKUP(June[[#This Row],[Drug Name4]],'Data Options'!$R$1:$S$100,2,FALSE), " ")</f>
        <v xml:space="preserve"> </v>
      </c>
      <c r="AI159" s="32"/>
      <c r="AJ159" s="32"/>
      <c r="AK159" s="53"/>
      <c r="AL159" s="54" t="str">
        <f>IFERROR(VLOOKUP(June[[#This Row],[Drug Name5]],'Data Options'!$R$1:$S$100,2,FALSE), " ")</f>
        <v xml:space="preserve"> </v>
      </c>
      <c r="AM159" s="32"/>
      <c r="AN159" s="32"/>
      <c r="AO159" s="53"/>
      <c r="AP159" s="54" t="str">
        <f>IFERROR(VLOOKUP(June[[#This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54" t="str">
        <f>IFERROR(VLOOKUP(June[[#This Row],[Drug Name7]],'Data Options'!$R$1:$S$100,2,FALSE), " ")</f>
        <v xml:space="preserve"> </v>
      </c>
      <c r="AZ159" s="32"/>
      <c r="BA159" s="32"/>
      <c r="BB159" s="53"/>
      <c r="BC159" s="54" t="str">
        <f>IFERROR(VLOOKUP(June[[#This Row],[Drug Name8]],'Data Options'!$R$1:$S$100,2,FALSE), " ")</f>
        <v xml:space="preserve"> </v>
      </c>
      <c r="BD159" s="32"/>
      <c r="BE159" s="32"/>
      <c r="BF159" s="53"/>
      <c r="BG159" s="54" t="str">
        <f>IFERROR(VLOOKUP(June[[#This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54" t="str">
        <f>IFERROR(VLOOKUP(June[[#This Row],[Drug Name]],'Data Options'!$R$1:$S$100,2,FALSE), " ")</f>
        <v xml:space="preserve"> </v>
      </c>
      <c r="R160" s="32"/>
      <c r="S160" s="32"/>
      <c r="T160" s="53"/>
      <c r="U160" s="54" t="str">
        <f>IFERROR(VLOOKUP(June[[#This Row],[Drug Name2]],'Data Options'!$R$1:$S$100,2,FALSE), " ")</f>
        <v xml:space="preserve"> </v>
      </c>
      <c r="V160" s="32"/>
      <c r="W160" s="32"/>
      <c r="X160" s="53"/>
      <c r="Y160" s="54" t="str">
        <f>IFERROR(VLOOKUP(June[[#This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54" t="str">
        <f>IFERROR(VLOOKUP(June[[#This Row],[Drug Name4]],'Data Options'!$R$1:$S$100,2,FALSE), " ")</f>
        <v xml:space="preserve"> </v>
      </c>
      <c r="AI160" s="32"/>
      <c r="AJ160" s="32"/>
      <c r="AK160" s="53"/>
      <c r="AL160" s="54" t="str">
        <f>IFERROR(VLOOKUP(June[[#This Row],[Drug Name5]],'Data Options'!$R$1:$S$100,2,FALSE), " ")</f>
        <v xml:space="preserve"> </v>
      </c>
      <c r="AM160" s="32"/>
      <c r="AN160" s="32"/>
      <c r="AO160" s="53"/>
      <c r="AP160" s="54" t="str">
        <f>IFERROR(VLOOKUP(June[[#This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54" t="str">
        <f>IFERROR(VLOOKUP(June[[#This Row],[Drug Name7]],'Data Options'!$R$1:$S$100,2,FALSE), " ")</f>
        <v xml:space="preserve"> </v>
      </c>
      <c r="AZ160" s="32"/>
      <c r="BA160" s="32"/>
      <c r="BB160" s="53"/>
      <c r="BC160" s="54" t="str">
        <f>IFERROR(VLOOKUP(June[[#This Row],[Drug Name8]],'Data Options'!$R$1:$S$100,2,FALSE), " ")</f>
        <v xml:space="preserve"> </v>
      </c>
      <c r="BD160" s="32"/>
      <c r="BE160" s="32"/>
      <c r="BF160" s="53"/>
      <c r="BG160" s="54" t="str">
        <f>IFERROR(VLOOKUP(June[[#This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54" t="str">
        <f>IFERROR(VLOOKUP(June[[#This Row],[Drug Name]],'Data Options'!$R$1:$S$100,2,FALSE), " ")</f>
        <v xml:space="preserve"> </v>
      </c>
      <c r="R161" s="32"/>
      <c r="S161" s="32"/>
      <c r="T161" s="53"/>
      <c r="U161" s="54" t="str">
        <f>IFERROR(VLOOKUP(June[[#This Row],[Drug Name2]],'Data Options'!$R$1:$S$100,2,FALSE), " ")</f>
        <v xml:space="preserve"> </v>
      </c>
      <c r="V161" s="32"/>
      <c r="W161" s="32"/>
      <c r="X161" s="53"/>
      <c r="Y161" s="54" t="str">
        <f>IFERROR(VLOOKUP(June[[#This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54" t="str">
        <f>IFERROR(VLOOKUP(June[[#This Row],[Drug Name4]],'Data Options'!$R$1:$S$100,2,FALSE), " ")</f>
        <v xml:space="preserve"> </v>
      </c>
      <c r="AI161" s="32"/>
      <c r="AJ161" s="32"/>
      <c r="AK161" s="53"/>
      <c r="AL161" s="54" t="str">
        <f>IFERROR(VLOOKUP(June[[#This Row],[Drug Name5]],'Data Options'!$R$1:$S$100,2,FALSE), " ")</f>
        <v xml:space="preserve"> </v>
      </c>
      <c r="AM161" s="32"/>
      <c r="AN161" s="32"/>
      <c r="AO161" s="53"/>
      <c r="AP161" s="54" t="str">
        <f>IFERROR(VLOOKUP(June[[#This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54" t="str">
        <f>IFERROR(VLOOKUP(June[[#This Row],[Drug Name7]],'Data Options'!$R$1:$S$100,2,FALSE), " ")</f>
        <v xml:space="preserve"> </v>
      </c>
      <c r="AZ161" s="32"/>
      <c r="BA161" s="32"/>
      <c r="BB161" s="53"/>
      <c r="BC161" s="54" t="str">
        <f>IFERROR(VLOOKUP(June[[#This Row],[Drug Name8]],'Data Options'!$R$1:$S$100,2,FALSE), " ")</f>
        <v xml:space="preserve"> </v>
      </c>
      <c r="BD161" s="32"/>
      <c r="BE161" s="32"/>
      <c r="BF161" s="53"/>
      <c r="BG161" s="54" t="str">
        <f>IFERROR(VLOOKUP(June[[#This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54" t="str">
        <f>IFERROR(VLOOKUP(June[[#This Row],[Drug Name]],'Data Options'!$R$1:$S$100,2,FALSE), " ")</f>
        <v xml:space="preserve"> </v>
      </c>
      <c r="R162" s="32"/>
      <c r="S162" s="32"/>
      <c r="T162" s="53"/>
      <c r="U162" s="54" t="str">
        <f>IFERROR(VLOOKUP(June[[#This Row],[Drug Name2]],'Data Options'!$R$1:$S$100,2,FALSE), " ")</f>
        <v xml:space="preserve"> </v>
      </c>
      <c r="V162" s="32"/>
      <c r="W162" s="32"/>
      <c r="X162" s="53"/>
      <c r="Y162" s="54" t="str">
        <f>IFERROR(VLOOKUP(June[[#This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54" t="str">
        <f>IFERROR(VLOOKUP(June[[#This Row],[Drug Name4]],'Data Options'!$R$1:$S$100,2,FALSE), " ")</f>
        <v xml:space="preserve"> </v>
      </c>
      <c r="AI162" s="32"/>
      <c r="AJ162" s="32"/>
      <c r="AK162" s="53"/>
      <c r="AL162" s="54" t="str">
        <f>IFERROR(VLOOKUP(June[[#This Row],[Drug Name5]],'Data Options'!$R$1:$S$100,2,FALSE), " ")</f>
        <v xml:space="preserve"> </v>
      </c>
      <c r="AM162" s="32"/>
      <c r="AN162" s="32"/>
      <c r="AO162" s="53"/>
      <c r="AP162" s="54" t="str">
        <f>IFERROR(VLOOKUP(June[[#This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54" t="str">
        <f>IFERROR(VLOOKUP(June[[#This Row],[Drug Name7]],'Data Options'!$R$1:$S$100,2,FALSE), " ")</f>
        <v xml:space="preserve"> </v>
      </c>
      <c r="AZ162" s="32"/>
      <c r="BA162" s="32"/>
      <c r="BB162" s="53"/>
      <c r="BC162" s="54" t="str">
        <f>IFERROR(VLOOKUP(June[[#This Row],[Drug Name8]],'Data Options'!$R$1:$S$100,2,FALSE), " ")</f>
        <v xml:space="preserve"> </v>
      </c>
      <c r="BD162" s="32"/>
      <c r="BE162" s="32"/>
      <c r="BF162" s="53"/>
      <c r="BG162" s="54" t="str">
        <f>IFERROR(VLOOKUP(June[[#This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54" t="str">
        <f>IFERROR(VLOOKUP(June[[#This Row],[Drug Name]],'Data Options'!$R$1:$S$100,2,FALSE), " ")</f>
        <v xml:space="preserve"> </v>
      </c>
      <c r="R163" s="32"/>
      <c r="S163" s="32"/>
      <c r="T163" s="53"/>
      <c r="U163" s="54" t="str">
        <f>IFERROR(VLOOKUP(June[[#This Row],[Drug Name2]],'Data Options'!$R$1:$S$100,2,FALSE), " ")</f>
        <v xml:space="preserve"> </v>
      </c>
      <c r="V163" s="32"/>
      <c r="W163" s="32"/>
      <c r="X163" s="53"/>
      <c r="Y163" s="54" t="str">
        <f>IFERROR(VLOOKUP(June[[#This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54" t="str">
        <f>IFERROR(VLOOKUP(June[[#This Row],[Drug Name4]],'Data Options'!$R$1:$S$100,2,FALSE), " ")</f>
        <v xml:space="preserve"> </v>
      </c>
      <c r="AI163" s="32"/>
      <c r="AJ163" s="32"/>
      <c r="AK163" s="53"/>
      <c r="AL163" s="54" t="str">
        <f>IFERROR(VLOOKUP(June[[#This Row],[Drug Name5]],'Data Options'!$R$1:$S$100,2,FALSE), " ")</f>
        <v xml:space="preserve"> </v>
      </c>
      <c r="AM163" s="32"/>
      <c r="AN163" s="32"/>
      <c r="AO163" s="53"/>
      <c r="AP163" s="54" t="str">
        <f>IFERROR(VLOOKUP(June[[#This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54" t="str">
        <f>IFERROR(VLOOKUP(June[[#This Row],[Drug Name7]],'Data Options'!$R$1:$S$100,2,FALSE), " ")</f>
        <v xml:space="preserve"> </v>
      </c>
      <c r="AZ163" s="32"/>
      <c r="BA163" s="32"/>
      <c r="BB163" s="53"/>
      <c r="BC163" s="54" t="str">
        <f>IFERROR(VLOOKUP(June[[#This Row],[Drug Name8]],'Data Options'!$R$1:$S$100,2,FALSE), " ")</f>
        <v xml:space="preserve"> </v>
      </c>
      <c r="BD163" s="32"/>
      <c r="BE163" s="32"/>
      <c r="BF163" s="53"/>
      <c r="BG163" s="54" t="str">
        <f>IFERROR(VLOOKUP(June[[#This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54" t="str">
        <f>IFERROR(VLOOKUP(June[[#This Row],[Drug Name]],'Data Options'!$R$1:$S$100,2,FALSE), " ")</f>
        <v xml:space="preserve"> </v>
      </c>
      <c r="R164" s="32"/>
      <c r="S164" s="32"/>
      <c r="T164" s="53"/>
      <c r="U164" s="54" t="str">
        <f>IFERROR(VLOOKUP(June[[#This Row],[Drug Name2]],'Data Options'!$R$1:$S$100,2,FALSE), " ")</f>
        <v xml:space="preserve"> </v>
      </c>
      <c r="V164" s="32"/>
      <c r="W164" s="32"/>
      <c r="X164" s="53"/>
      <c r="Y164" s="54" t="str">
        <f>IFERROR(VLOOKUP(June[[#This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54" t="str">
        <f>IFERROR(VLOOKUP(June[[#This Row],[Drug Name4]],'Data Options'!$R$1:$S$100,2,FALSE), " ")</f>
        <v xml:space="preserve"> </v>
      </c>
      <c r="AI164" s="32"/>
      <c r="AJ164" s="32"/>
      <c r="AK164" s="53"/>
      <c r="AL164" s="54" t="str">
        <f>IFERROR(VLOOKUP(June[[#This Row],[Drug Name5]],'Data Options'!$R$1:$S$100,2,FALSE), " ")</f>
        <v xml:space="preserve"> </v>
      </c>
      <c r="AM164" s="32"/>
      <c r="AN164" s="32"/>
      <c r="AO164" s="53"/>
      <c r="AP164" s="54" t="str">
        <f>IFERROR(VLOOKUP(June[[#This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54" t="str">
        <f>IFERROR(VLOOKUP(June[[#This Row],[Drug Name7]],'Data Options'!$R$1:$S$100,2,FALSE), " ")</f>
        <v xml:space="preserve"> </v>
      </c>
      <c r="AZ164" s="32"/>
      <c r="BA164" s="32"/>
      <c r="BB164" s="53"/>
      <c r="BC164" s="54" t="str">
        <f>IFERROR(VLOOKUP(June[[#This Row],[Drug Name8]],'Data Options'!$R$1:$S$100,2,FALSE), " ")</f>
        <v xml:space="preserve"> </v>
      </c>
      <c r="BD164" s="32"/>
      <c r="BE164" s="32"/>
      <c r="BF164" s="53"/>
      <c r="BG164" s="54" t="str">
        <f>IFERROR(VLOOKUP(June[[#This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54" t="str">
        <f>IFERROR(VLOOKUP(June[[#This Row],[Drug Name]],'Data Options'!$R$1:$S$100,2,FALSE), " ")</f>
        <v xml:space="preserve"> </v>
      </c>
      <c r="R165" s="32"/>
      <c r="S165" s="32"/>
      <c r="T165" s="53"/>
      <c r="U165" s="54" t="str">
        <f>IFERROR(VLOOKUP(June[[#This Row],[Drug Name2]],'Data Options'!$R$1:$S$100,2,FALSE), " ")</f>
        <v xml:space="preserve"> </v>
      </c>
      <c r="V165" s="32"/>
      <c r="W165" s="32"/>
      <c r="X165" s="53"/>
      <c r="Y165" s="54" t="str">
        <f>IFERROR(VLOOKUP(June[[#This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54" t="str">
        <f>IFERROR(VLOOKUP(June[[#This Row],[Drug Name4]],'Data Options'!$R$1:$S$100,2,FALSE), " ")</f>
        <v xml:space="preserve"> </v>
      </c>
      <c r="AI165" s="32"/>
      <c r="AJ165" s="32"/>
      <c r="AK165" s="53"/>
      <c r="AL165" s="54" t="str">
        <f>IFERROR(VLOOKUP(June[[#This Row],[Drug Name5]],'Data Options'!$R$1:$S$100,2,FALSE), " ")</f>
        <v xml:space="preserve"> </v>
      </c>
      <c r="AM165" s="32"/>
      <c r="AN165" s="32"/>
      <c r="AO165" s="53"/>
      <c r="AP165" s="54" t="str">
        <f>IFERROR(VLOOKUP(June[[#This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54" t="str">
        <f>IFERROR(VLOOKUP(June[[#This Row],[Drug Name7]],'Data Options'!$R$1:$S$100,2,FALSE), " ")</f>
        <v xml:space="preserve"> </v>
      </c>
      <c r="AZ165" s="32"/>
      <c r="BA165" s="32"/>
      <c r="BB165" s="53"/>
      <c r="BC165" s="54" t="str">
        <f>IFERROR(VLOOKUP(June[[#This Row],[Drug Name8]],'Data Options'!$R$1:$S$100,2,FALSE), " ")</f>
        <v xml:space="preserve"> </v>
      </c>
      <c r="BD165" s="32"/>
      <c r="BE165" s="32"/>
      <c r="BF165" s="53"/>
      <c r="BG165" s="54" t="str">
        <f>IFERROR(VLOOKUP(June[[#This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54" t="str">
        <f>IFERROR(VLOOKUP(June[[#This Row],[Drug Name]],'Data Options'!$R$1:$S$100,2,FALSE), " ")</f>
        <v xml:space="preserve"> </v>
      </c>
      <c r="R166" s="32"/>
      <c r="S166" s="32"/>
      <c r="T166" s="53"/>
      <c r="U166" s="54" t="str">
        <f>IFERROR(VLOOKUP(June[[#This Row],[Drug Name2]],'Data Options'!$R$1:$S$100,2,FALSE), " ")</f>
        <v xml:space="preserve"> </v>
      </c>
      <c r="V166" s="32"/>
      <c r="W166" s="32"/>
      <c r="X166" s="53"/>
      <c r="Y166" s="54" t="str">
        <f>IFERROR(VLOOKUP(June[[#This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54" t="str">
        <f>IFERROR(VLOOKUP(June[[#This Row],[Drug Name4]],'Data Options'!$R$1:$S$100,2,FALSE), " ")</f>
        <v xml:space="preserve"> </v>
      </c>
      <c r="AI166" s="32"/>
      <c r="AJ166" s="32"/>
      <c r="AK166" s="53"/>
      <c r="AL166" s="54" t="str">
        <f>IFERROR(VLOOKUP(June[[#This Row],[Drug Name5]],'Data Options'!$R$1:$S$100,2,FALSE), " ")</f>
        <v xml:space="preserve"> </v>
      </c>
      <c r="AM166" s="32"/>
      <c r="AN166" s="32"/>
      <c r="AO166" s="53"/>
      <c r="AP166" s="54" t="str">
        <f>IFERROR(VLOOKUP(June[[#This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54" t="str">
        <f>IFERROR(VLOOKUP(June[[#This Row],[Drug Name7]],'Data Options'!$R$1:$S$100,2,FALSE), " ")</f>
        <v xml:space="preserve"> </v>
      </c>
      <c r="AZ166" s="32"/>
      <c r="BA166" s="32"/>
      <c r="BB166" s="53"/>
      <c r="BC166" s="54" t="str">
        <f>IFERROR(VLOOKUP(June[[#This Row],[Drug Name8]],'Data Options'!$R$1:$S$100,2,FALSE), " ")</f>
        <v xml:space="preserve"> </v>
      </c>
      <c r="BD166" s="32"/>
      <c r="BE166" s="32"/>
      <c r="BF166" s="53"/>
      <c r="BG166" s="54" t="str">
        <f>IFERROR(VLOOKUP(June[[#This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54" t="str">
        <f>IFERROR(VLOOKUP(June[[#This Row],[Drug Name]],'Data Options'!$R$1:$S$100,2,FALSE), " ")</f>
        <v xml:space="preserve"> </v>
      </c>
      <c r="R167" s="32"/>
      <c r="S167" s="32"/>
      <c r="T167" s="53"/>
      <c r="U167" s="54" t="str">
        <f>IFERROR(VLOOKUP(June[[#This Row],[Drug Name2]],'Data Options'!$R$1:$S$100,2,FALSE), " ")</f>
        <v xml:space="preserve"> </v>
      </c>
      <c r="V167" s="32"/>
      <c r="W167" s="32"/>
      <c r="X167" s="53"/>
      <c r="Y167" s="54" t="str">
        <f>IFERROR(VLOOKUP(June[[#This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54" t="str">
        <f>IFERROR(VLOOKUP(June[[#This Row],[Drug Name4]],'Data Options'!$R$1:$S$100,2,FALSE), " ")</f>
        <v xml:space="preserve"> </v>
      </c>
      <c r="AI167" s="32"/>
      <c r="AJ167" s="32"/>
      <c r="AK167" s="53"/>
      <c r="AL167" s="54" t="str">
        <f>IFERROR(VLOOKUP(June[[#This Row],[Drug Name5]],'Data Options'!$R$1:$S$100,2,FALSE), " ")</f>
        <v xml:space="preserve"> </v>
      </c>
      <c r="AM167" s="32"/>
      <c r="AN167" s="32"/>
      <c r="AO167" s="53"/>
      <c r="AP167" s="54" t="str">
        <f>IFERROR(VLOOKUP(June[[#This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54" t="str">
        <f>IFERROR(VLOOKUP(June[[#This Row],[Drug Name7]],'Data Options'!$R$1:$S$100,2,FALSE), " ")</f>
        <v xml:space="preserve"> </v>
      </c>
      <c r="AZ167" s="32"/>
      <c r="BA167" s="32"/>
      <c r="BB167" s="53"/>
      <c r="BC167" s="54" t="str">
        <f>IFERROR(VLOOKUP(June[[#This Row],[Drug Name8]],'Data Options'!$R$1:$S$100,2,FALSE), " ")</f>
        <v xml:space="preserve"> </v>
      </c>
      <c r="BD167" s="32"/>
      <c r="BE167" s="32"/>
      <c r="BF167" s="53"/>
      <c r="BG167" s="54" t="str">
        <f>IFERROR(VLOOKUP(June[[#This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54" t="str">
        <f>IFERROR(VLOOKUP(June[[#This Row],[Drug Name]],'Data Options'!$R$1:$S$100,2,FALSE), " ")</f>
        <v xml:space="preserve"> </v>
      </c>
      <c r="R168" s="32"/>
      <c r="S168" s="32"/>
      <c r="T168" s="53"/>
      <c r="U168" s="54" t="str">
        <f>IFERROR(VLOOKUP(June[[#This Row],[Drug Name2]],'Data Options'!$R$1:$S$100,2,FALSE), " ")</f>
        <v xml:space="preserve"> </v>
      </c>
      <c r="V168" s="32"/>
      <c r="W168" s="32"/>
      <c r="X168" s="53"/>
      <c r="Y168" s="54" t="str">
        <f>IFERROR(VLOOKUP(June[[#This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54" t="str">
        <f>IFERROR(VLOOKUP(June[[#This Row],[Drug Name4]],'Data Options'!$R$1:$S$100,2,FALSE), " ")</f>
        <v xml:space="preserve"> </v>
      </c>
      <c r="AI168" s="32"/>
      <c r="AJ168" s="32"/>
      <c r="AK168" s="53"/>
      <c r="AL168" s="54" t="str">
        <f>IFERROR(VLOOKUP(June[[#This Row],[Drug Name5]],'Data Options'!$R$1:$S$100,2,FALSE), " ")</f>
        <v xml:space="preserve"> </v>
      </c>
      <c r="AM168" s="32"/>
      <c r="AN168" s="32"/>
      <c r="AO168" s="53"/>
      <c r="AP168" s="54" t="str">
        <f>IFERROR(VLOOKUP(June[[#This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54" t="str">
        <f>IFERROR(VLOOKUP(June[[#This Row],[Drug Name7]],'Data Options'!$R$1:$S$100,2,FALSE), " ")</f>
        <v xml:space="preserve"> </v>
      </c>
      <c r="AZ168" s="32"/>
      <c r="BA168" s="32"/>
      <c r="BB168" s="53"/>
      <c r="BC168" s="54" t="str">
        <f>IFERROR(VLOOKUP(June[[#This Row],[Drug Name8]],'Data Options'!$R$1:$S$100,2,FALSE), " ")</f>
        <v xml:space="preserve"> </v>
      </c>
      <c r="BD168" s="32"/>
      <c r="BE168" s="32"/>
      <c r="BF168" s="53"/>
      <c r="BG168" s="54" t="str">
        <f>IFERROR(VLOOKUP(June[[#This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54" t="str">
        <f>IFERROR(VLOOKUP(June[[#This Row],[Drug Name]],'Data Options'!$R$1:$S$100,2,FALSE), " ")</f>
        <v xml:space="preserve"> </v>
      </c>
      <c r="R169" s="32"/>
      <c r="S169" s="32"/>
      <c r="T169" s="53"/>
      <c r="U169" s="54" t="str">
        <f>IFERROR(VLOOKUP(June[[#This Row],[Drug Name2]],'Data Options'!$R$1:$S$100,2,FALSE), " ")</f>
        <v xml:space="preserve"> </v>
      </c>
      <c r="V169" s="32"/>
      <c r="W169" s="32"/>
      <c r="X169" s="53"/>
      <c r="Y169" s="54" t="str">
        <f>IFERROR(VLOOKUP(June[[#This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54" t="str">
        <f>IFERROR(VLOOKUP(June[[#This Row],[Drug Name4]],'Data Options'!$R$1:$S$100,2,FALSE), " ")</f>
        <v xml:space="preserve"> </v>
      </c>
      <c r="AI169" s="32"/>
      <c r="AJ169" s="32"/>
      <c r="AK169" s="53"/>
      <c r="AL169" s="54" t="str">
        <f>IFERROR(VLOOKUP(June[[#This Row],[Drug Name5]],'Data Options'!$R$1:$S$100,2,FALSE), " ")</f>
        <v xml:space="preserve"> </v>
      </c>
      <c r="AM169" s="32"/>
      <c r="AN169" s="32"/>
      <c r="AO169" s="53"/>
      <c r="AP169" s="54" t="str">
        <f>IFERROR(VLOOKUP(June[[#This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54" t="str">
        <f>IFERROR(VLOOKUP(June[[#This Row],[Drug Name7]],'Data Options'!$R$1:$S$100,2,FALSE), " ")</f>
        <v xml:space="preserve"> </v>
      </c>
      <c r="AZ169" s="32"/>
      <c r="BA169" s="32"/>
      <c r="BB169" s="53"/>
      <c r="BC169" s="54" t="str">
        <f>IFERROR(VLOOKUP(June[[#This Row],[Drug Name8]],'Data Options'!$R$1:$S$100,2,FALSE), " ")</f>
        <v xml:space="preserve"> </v>
      </c>
      <c r="BD169" s="32"/>
      <c r="BE169" s="32"/>
      <c r="BF169" s="53"/>
      <c r="BG169" s="54" t="str">
        <f>IFERROR(VLOOKUP(June[[#This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54" t="str">
        <f>IFERROR(VLOOKUP(June[[#This Row],[Drug Name]],'Data Options'!$R$1:$S$100,2,FALSE), " ")</f>
        <v xml:space="preserve"> </v>
      </c>
      <c r="R170" s="32"/>
      <c r="S170" s="32"/>
      <c r="T170" s="53"/>
      <c r="U170" s="54" t="str">
        <f>IFERROR(VLOOKUP(June[[#This Row],[Drug Name2]],'Data Options'!$R$1:$S$100,2,FALSE), " ")</f>
        <v xml:space="preserve"> </v>
      </c>
      <c r="V170" s="32"/>
      <c r="W170" s="32"/>
      <c r="X170" s="53"/>
      <c r="Y170" s="54" t="str">
        <f>IFERROR(VLOOKUP(June[[#This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54" t="str">
        <f>IFERROR(VLOOKUP(June[[#This Row],[Drug Name4]],'Data Options'!$R$1:$S$100,2,FALSE), " ")</f>
        <v xml:space="preserve"> </v>
      </c>
      <c r="AI170" s="32"/>
      <c r="AJ170" s="32"/>
      <c r="AK170" s="53"/>
      <c r="AL170" s="54" t="str">
        <f>IFERROR(VLOOKUP(June[[#This Row],[Drug Name5]],'Data Options'!$R$1:$S$100,2,FALSE), " ")</f>
        <v xml:space="preserve"> </v>
      </c>
      <c r="AM170" s="32"/>
      <c r="AN170" s="32"/>
      <c r="AO170" s="53"/>
      <c r="AP170" s="54" t="str">
        <f>IFERROR(VLOOKUP(June[[#This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54" t="str">
        <f>IFERROR(VLOOKUP(June[[#This Row],[Drug Name7]],'Data Options'!$R$1:$S$100,2,FALSE), " ")</f>
        <v xml:space="preserve"> </v>
      </c>
      <c r="AZ170" s="32"/>
      <c r="BA170" s="32"/>
      <c r="BB170" s="53"/>
      <c r="BC170" s="54" t="str">
        <f>IFERROR(VLOOKUP(June[[#This Row],[Drug Name8]],'Data Options'!$R$1:$S$100,2,FALSE), " ")</f>
        <v xml:space="preserve"> </v>
      </c>
      <c r="BD170" s="32"/>
      <c r="BE170" s="32"/>
      <c r="BF170" s="53"/>
      <c r="BG170" s="54" t="str">
        <f>IFERROR(VLOOKUP(June[[#This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54" t="str">
        <f>IFERROR(VLOOKUP(June[[#This Row],[Drug Name]],'Data Options'!$R$1:$S$100,2,FALSE), " ")</f>
        <v xml:space="preserve"> </v>
      </c>
      <c r="R171" s="32"/>
      <c r="S171" s="32"/>
      <c r="T171" s="53"/>
      <c r="U171" s="54" t="str">
        <f>IFERROR(VLOOKUP(June[[#This Row],[Drug Name2]],'Data Options'!$R$1:$S$100,2,FALSE), " ")</f>
        <v xml:space="preserve"> </v>
      </c>
      <c r="V171" s="32"/>
      <c r="W171" s="32"/>
      <c r="X171" s="53"/>
      <c r="Y171" s="54" t="str">
        <f>IFERROR(VLOOKUP(June[[#This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54" t="str">
        <f>IFERROR(VLOOKUP(June[[#This Row],[Drug Name4]],'Data Options'!$R$1:$S$100,2,FALSE), " ")</f>
        <v xml:space="preserve"> </v>
      </c>
      <c r="AI171" s="32"/>
      <c r="AJ171" s="32"/>
      <c r="AK171" s="53"/>
      <c r="AL171" s="54" t="str">
        <f>IFERROR(VLOOKUP(June[[#This Row],[Drug Name5]],'Data Options'!$R$1:$S$100,2,FALSE), " ")</f>
        <v xml:space="preserve"> </v>
      </c>
      <c r="AM171" s="32"/>
      <c r="AN171" s="32"/>
      <c r="AO171" s="53"/>
      <c r="AP171" s="54" t="str">
        <f>IFERROR(VLOOKUP(June[[#This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54" t="str">
        <f>IFERROR(VLOOKUP(June[[#This Row],[Drug Name7]],'Data Options'!$R$1:$S$100,2,FALSE), " ")</f>
        <v xml:space="preserve"> </v>
      </c>
      <c r="AZ171" s="32"/>
      <c r="BA171" s="32"/>
      <c r="BB171" s="53"/>
      <c r="BC171" s="54" t="str">
        <f>IFERROR(VLOOKUP(June[[#This Row],[Drug Name8]],'Data Options'!$R$1:$S$100,2,FALSE), " ")</f>
        <v xml:space="preserve"> </v>
      </c>
      <c r="BD171" s="32"/>
      <c r="BE171" s="32"/>
      <c r="BF171" s="53"/>
      <c r="BG171" s="54" t="str">
        <f>IFERROR(VLOOKUP(June[[#This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54" t="str">
        <f>IFERROR(VLOOKUP(June[[#This Row],[Drug Name]],'Data Options'!$R$1:$S$100,2,FALSE), " ")</f>
        <v xml:space="preserve"> </v>
      </c>
      <c r="R172" s="32"/>
      <c r="S172" s="32"/>
      <c r="T172" s="53"/>
      <c r="U172" s="54" t="str">
        <f>IFERROR(VLOOKUP(June[[#This Row],[Drug Name2]],'Data Options'!$R$1:$S$100,2,FALSE), " ")</f>
        <v xml:space="preserve"> </v>
      </c>
      <c r="V172" s="32"/>
      <c r="W172" s="32"/>
      <c r="X172" s="53"/>
      <c r="Y172" s="54" t="str">
        <f>IFERROR(VLOOKUP(June[[#This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54" t="str">
        <f>IFERROR(VLOOKUP(June[[#This Row],[Drug Name4]],'Data Options'!$R$1:$S$100,2,FALSE), " ")</f>
        <v xml:space="preserve"> </v>
      </c>
      <c r="AI172" s="32"/>
      <c r="AJ172" s="32"/>
      <c r="AK172" s="53"/>
      <c r="AL172" s="54" t="str">
        <f>IFERROR(VLOOKUP(June[[#This Row],[Drug Name5]],'Data Options'!$R$1:$S$100,2,FALSE), " ")</f>
        <v xml:space="preserve"> </v>
      </c>
      <c r="AM172" s="32"/>
      <c r="AN172" s="32"/>
      <c r="AO172" s="53"/>
      <c r="AP172" s="54" t="str">
        <f>IFERROR(VLOOKUP(June[[#This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54" t="str">
        <f>IFERROR(VLOOKUP(June[[#This Row],[Drug Name7]],'Data Options'!$R$1:$S$100,2,FALSE), " ")</f>
        <v xml:space="preserve"> </v>
      </c>
      <c r="AZ172" s="32"/>
      <c r="BA172" s="32"/>
      <c r="BB172" s="53"/>
      <c r="BC172" s="54" t="str">
        <f>IFERROR(VLOOKUP(June[[#This Row],[Drug Name8]],'Data Options'!$R$1:$S$100,2,FALSE), " ")</f>
        <v xml:space="preserve"> </v>
      </c>
      <c r="BD172" s="32"/>
      <c r="BE172" s="32"/>
      <c r="BF172" s="53"/>
      <c r="BG172" s="54" t="str">
        <f>IFERROR(VLOOKUP(June[[#This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54" t="str">
        <f>IFERROR(VLOOKUP(June[[#This Row],[Drug Name]],'Data Options'!$R$1:$S$100,2,FALSE), " ")</f>
        <v xml:space="preserve"> </v>
      </c>
      <c r="R173" s="32"/>
      <c r="S173" s="32"/>
      <c r="T173" s="53"/>
      <c r="U173" s="54" t="str">
        <f>IFERROR(VLOOKUP(June[[#This Row],[Drug Name2]],'Data Options'!$R$1:$S$100,2,FALSE), " ")</f>
        <v xml:space="preserve"> </v>
      </c>
      <c r="V173" s="32"/>
      <c r="W173" s="32"/>
      <c r="X173" s="53"/>
      <c r="Y173" s="54" t="str">
        <f>IFERROR(VLOOKUP(June[[#This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54" t="str">
        <f>IFERROR(VLOOKUP(June[[#This Row],[Drug Name4]],'Data Options'!$R$1:$S$100,2,FALSE), " ")</f>
        <v xml:space="preserve"> </v>
      </c>
      <c r="AI173" s="32"/>
      <c r="AJ173" s="32"/>
      <c r="AK173" s="53"/>
      <c r="AL173" s="54" t="str">
        <f>IFERROR(VLOOKUP(June[[#This Row],[Drug Name5]],'Data Options'!$R$1:$S$100,2,FALSE), " ")</f>
        <v xml:space="preserve"> </v>
      </c>
      <c r="AM173" s="32"/>
      <c r="AN173" s="32"/>
      <c r="AO173" s="53"/>
      <c r="AP173" s="54" t="str">
        <f>IFERROR(VLOOKUP(June[[#This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54" t="str">
        <f>IFERROR(VLOOKUP(June[[#This Row],[Drug Name7]],'Data Options'!$R$1:$S$100,2,FALSE), " ")</f>
        <v xml:space="preserve"> </v>
      </c>
      <c r="AZ173" s="32"/>
      <c r="BA173" s="32"/>
      <c r="BB173" s="53"/>
      <c r="BC173" s="54" t="str">
        <f>IFERROR(VLOOKUP(June[[#This Row],[Drug Name8]],'Data Options'!$R$1:$S$100,2,FALSE), " ")</f>
        <v xml:space="preserve"> </v>
      </c>
      <c r="BD173" s="32"/>
      <c r="BE173" s="32"/>
      <c r="BF173" s="53"/>
      <c r="BG173" s="54" t="str">
        <f>IFERROR(VLOOKUP(June[[#This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54" t="str">
        <f>IFERROR(VLOOKUP(June[[#This Row],[Drug Name]],'Data Options'!$R$1:$S$100,2,FALSE), " ")</f>
        <v xml:space="preserve"> </v>
      </c>
      <c r="R174" s="32"/>
      <c r="S174" s="32"/>
      <c r="T174" s="53"/>
      <c r="U174" s="54" t="str">
        <f>IFERROR(VLOOKUP(June[[#This Row],[Drug Name2]],'Data Options'!$R$1:$S$100,2,FALSE), " ")</f>
        <v xml:space="preserve"> </v>
      </c>
      <c r="V174" s="32"/>
      <c r="W174" s="32"/>
      <c r="X174" s="53"/>
      <c r="Y174" s="54" t="str">
        <f>IFERROR(VLOOKUP(June[[#This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54" t="str">
        <f>IFERROR(VLOOKUP(June[[#This Row],[Drug Name4]],'Data Options'!$R$1:$S$100,2,FALSE), " ")</f>
        <v xml:space="preserve"> </v>
      </c>
      <c r="AI174" s="32"/>
      <c r="AJ174" s="32"/>
      <c r="AK174" s="53"/>
      <c r="AL174" s="54" t="str">
        <f>IFERROR(VLOOKUP(June[[#This Row],[Drug Name5]],'Data Options'!$R$1:$S$100,2,FALSE), " ")</f>
        <v xml:space="preserve"> </v>
      </c>
      <c r="AM174" s="32"/>
      <c r="AN174" s="32"/>
      <c r="AO174" s="53"/>
      <c r="AP174" s="54" t="str">
        <f>IFERROR(VLOOKUP(June[[#This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54" t="str">
        <f>IFERROR(VLOOKUP(June[[#This Row],[Drug Name7]],'Data Options'!$R$1:$S$100,2,FALSE), " ")</f>
        <v xml:space="preserve"> </v>
      </c>
      <c r="AZ174" s="32"/>
      <c r="BA174" s="32"/>
      <c r="BB174" s="53"/>
      <c r="BC174" s="54" t="str">
        <f>IFERROR(VLOOKUP(June[[#This Row],[Drug Name8]],'Data Options'!$R$1:$S$100,2,FALSE), " ")</f>
        <v xml:space="preserve"> </v>
      </c>
      <c r="BD174" s="32"/>
      <c r="BE174" s="32"/>
      <c r="BF174" s="53"/>
      <c r="BG174" s="54" t="str">
        <f>IFERROR(VLOOKUP(June[[#This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54" t="str">
        <f>IFERROR(VLOOKUP(June[[#This Row],[Drug Name]],'Data Options'!$R$1:$S$100,2,FALSE), " ")</f>
        <v xml:space="preserve"> </v>
      </c>
      <c r="R175" s="32"/>
      <c r="S175" s="32"/>
      <c r="T175" s="53"/>
      <c r="U175" s="54" t="str">
        <f>IFERROR(VLOOKUP(June[[#This Row],[Drug Name2]],'Data Options'!$R$1:$S$100,2,FALSE), " ")</f>
        <v xml:space="preserve"> </v>
      </c>
      <c r="V175" s="32"/>
      <c r="W175" s="32"/>
      <c r="X175" s="53"/>
      <c r="Y175" s="54" t="str">
        <f>IFERROR(VLOOKUP(June[[#This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54" t="str">
        <f>IFERROR(VLOOKUP(June[[#This Row],[Drug Name4]],'Data Options'!$R$1:$S$100,2,FALSE), " ")</f>
        <v xml:space="preserve"> </v>
      </c>
      <c r="AI175" s="32"/>
      <c r="AJ175" s="32"/>
      <c r="AK175" s="53"/>
      <c r="AL175" s="54" t="str">
        <f>IFERROR(VLOOKUP(June[[#This Row],[Drug Name5]],'Data Options'!$R$1:$S$100,2,FALSE), " ")</f>
        <v xml:space="preserve"> </v>
      </c>
      <c r="AM175" s="32"/>
      <c r="AN175" s="32"/>
      <c r="AO175" s="53"/>
      <c r="AP175" s="54" t="str">
        <f>IFERROR(VLOOKUP(June[[#This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54" t="str">
        <f>IFERROR(VLOOKUP(June[[#This Row],[Drug Name7]],'Data Options'!$R$1:$S$100,2,FALSE), " ")</f>
        <v xml:space="preserve"> </v>
      </c>
      <c r="AZ175" s="32"/>
      <c r="BA175" s="32"/>
      <c r="BB175" s="53"/>
      <c r="BC175" s="54" t="str">
        <f>IFERROR(VLOOKUP(June[[#This Row],[Drug Name8]],'Data Options'!$R$1:$S$100,2,FALSE), " ")</f>
        <v xml:space="preserve"> </v>
      </c>
      <c r="BD175" s="32"/>
      <c r="BE175" s="32"/>
      <c r="BF175" s="53"/>
      <c r="BG175" s="54" t="str">
        <f>IFERROR(VLOOKUP(June[[#This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54" t="str">
        <f>IFERROR(VLOOKUP(June[[#This Row],[Drug Name]],'Data Options'!$R$1:$S$100,2,FALSE), " ")</f>
        <v xml:space="preserve"> </v>
      </c>
      <c r="R176" s="32"/>
      <c r="S176" s="32"/>
      <c r="T176" s="53"/>
      <c r="U176" s="54" t="str">
        <f>IFERROR(VLOOKUP(June[[#This Row],[Drug Name2]],'Data Options'!$R$1:$S$100,2,FALSE), " ")</f>
        <v xml:space="preserve"> </v>
      </c>
      <c r="V176" s="32"/>
      <c r="W176" s="32"/>
      <c r="X176" s="53"/>
      <c r="Y176" s="54" t="str">
        <f>IFERROR(VLOOKUP(June[[#This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54" t="str">
        <f>IFERROR(VLOOKUP(June[[#This Row],[Drug Name4]],'Data Options'!$R$1:$S$100,2,FALSE), " ")</f>
        <v xml:space="preserve"> </v>
      </c>
      <c r="AI176" s="32"/>
      <c r="AJ176" s="32"/>
      <c r="AK176" s="53"/>
      <c r="AL176" s="54" t="str">
        <f>IFERROR(VLOOKUP(June[[#This Row],[Drug Name5]],'Data Options'!$R$1:$S$100,2,FALSE), " ")</f>
        <v xml:space="preserve"> </v>
      </c>
      <c r="AM176" s="32"/>
      <c r="AN176" s="32"/>
      <c r="AO176" s="53"/>
      <c r="AP176" s="54" t="str">
        <f>IFERROR(VLOOKUP(June[[#This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54" t="str">
        <f>IFERROR(VLOOKUP(June[[#This Row],[Drug Name7]],'Data Options'!$R$1:$S$100,2,FALSE), " ")</f>
        <v xml:space="preserve"> </v>
      </c>
      <c r="AZ176" s="32"/>
      <c r="BA176" s="32"/>
      <c r="BB176" s="53"/>
      <c r="BC176" s="54" t="str">
        <f>IFERROR(VLOOKUP(June[[#This Row],[Drug Name8]],'Data Options'!$R$1:$S$100,2,FALSE), " ")</f>
        <v xml:space="preserve"> </v>
      </c>
      <c r="BD176" s="32"/>
      <c r="BE176" s="32"/>
      <c r="BF176" s="53"/>
      <c r="BG176" s="54" t="str">
        <f>IFERROR(VLOOKUP(June[[#This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54" t="str">
        <f>IFERROR(VLOOKUP(June[[#This Row],[Drug Name]],'Data Options'!$R$1:$S$100,2,FALSE), " ")</f>
        <v xml:space="preserve"> </v>
      </c>
      <c r="R177" s="32"/>
      <c r="S177" s="32"/>
      <c r="T177" s="53"/>
      <c r="U177" s="54" t="str">
        <f>IFERROR(VLOOKUP(June[[#This Row],[Drug Name2]],'Data Options'!$R$1:$S$100,2,FALSE), " ")</f>
        <v xml:space="preserve"> </v>
      </c>
      <c r="V177" s="32"/>
      <c r="W177" s="32"/>
      <c r="X177" s="53"/>
      <c r="Y177" s="54" t="str">
        <f>IFERROR(VLOOKUP(June[[#This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54" t="str">
        <f>IFERROR(VLOOKUP(June[[#This Row],[Drug Name4]],'Data Options'!$R$1:$S$100,2,FALSE), " ")</f>
        <v xml:space="preserve"> </v>
      </c>
      <c r="AI177" s="32"/>
      <c r="AJ177" s="32"/>
      <c r="AK177" s="53"/>
      <c r="AL177" s="54" t="str">
        <f>IFERROR(VLOOKUP(June[[#This Row],[Drug Name5]],'Data Options'!$R$1:$S$100,2,FALSE), " ")</f>
        <v xml:space="preserve"> </v>
      </c>
      <c r="AM177" s="32"/>
      <c r="AN177" s="32"/>
      <c r="AO177" s="53"/>
      <c r="AP177" s="54" t="str">
        <f>IFERROR(VLOOKUP(June[[#This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54" t="str">
        <f>IFERROR(VLOOKUP(June[[#This Row],[Drug Name7]],'Data Options'!$R$1:$S$100,2,FALSE), " ")</f>
        <v xml:space="preserve"> </v>
      </c>
      <c r="AZ177" s="32"/>
      <c r="BA177" s="32"/>
      <c r="BB177" s="53"/>
      <c r="BC177" s="54" t="str">
        <f>IFERROR(VLOOKUP(June[[#This Row],[Drug Name8]],'Data Options'!$R$1:$S$100,2,FALSE), " ")</f>
        <v xml:space="preserve"> </v>
      </c>
      <c r="BD177" s="32"/>
      <c r="BE177" s="32"/>
      <c r="BF177" s="53"/>
      <c r="BG177" s="54" t="str">
        <f>IFERROR(VLOOKUP(June[[#This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54" t="str">
        <f>IFERROR(VLOOKUP(June[[#This Row],[Drug Name]],'Data Options'!$R$1:$S$100,2,FALSE), " ")</f>
        <v xml:space="preserve"> </v>
      </c>
      <c r="R178" s="32"/>
      <c r="S178" s="32"/>
      <c r="T178" s="53"/>
      <c r="U178" s="54" t="str">
        <f>IFERROR(VLOOKUP(June[[#This Row],[Drug Name2]],'Data Options'!$R$1:$S$100,2,FALSE), " ")</f>
        <v xml:space="preserve"> </v>
      </c>
      <c r="V178" s="32"/>
      <c r="W178" s="32"/>
      <c r="X178" s="53"/>
      <c r="Y178" s="54" t="str">
        <f>IFERROR(VLOOKUP(June[[#This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54" t="str">
        <f>IFERROR(VLOOKUP(June[[#This Row],[Drug Name4]],'Data Options'!$R$1:$S$100,2,FALSE), " ")</f>
        <v xml:space="preserve"> </v>
      </c>
      <c r="AI178" s="32"/>
      <c r="AJ178" s="32"/>
      <c r="AK178" s="53"/>
      <c r="AL178" s="54" t="str">
        <f>IFERROR(VLOOKUP(June[[#This Row],[Drug Name5]],'Data Options'!$R$1:$S$100,2,FALSE), " ")</f>
        <v xml:space="preserve"> </v>
      </c>
      <c r="AM178" s="32"/>
      <c r="AN178" s="32"/>
      <c r="AO178" s="53"/>
      <c r="AP178" s="54" t="str">
        <f>IFERROR(VLOOKUP(June[[#This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54" t="str">
        <f>IFERROR(VLOOKUP(June[[#This Row],[Drug Name7]],'Data Options'!$R$1:$S$100,2,FALSE), " ")</f>
        <v xml:space="preserve"> </v>
      </c>
      <c r="AZ178" s="32"/>
      <c r="BA178" s="32"/>
      <c r="BB178" s="53"/>
      <c r="BC178" s="54" t="str">
        <f>IFERROR(VLOOKUP(June[[#This Row],[Drug Name8]],'Data Options'!$R$1:$S$100,2,FALSE), " ")</f>
        <v xml:space="preserve"> </v>
      </c>
      <c r="BD178" s="32"/>
      <c r="BE178" s="32"/>
      <c r="BF178" s="53"/>
      <c r="BG178" s="54" t="str">
        <f>IFERROR(VLOOKUP(June[[#This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54" t="str">
        <f>IFERROR(VLOOKUP(June[[#This Row],[Drug Name]],'Data Options'!$R$1:$S$100,2,FALSE), " ")</f>
        <v xml:space="preserve"> </v>
      </c>
      <c r="R179" s="32"/>
      <c r="S179" s="32"/>
      <c r="T179" s="53"/>
      <c r="U179" s="54" t="str">
        <f>IFERROR(VLOOKUP(June[[#This Row],[Drug Name2]],'Data Options'!$R$1:$S$100,2,FALSE), " ")</f>
        <v xml:space="preserve"> </v>
      </c>
      <c r="V179" s="32"/>
      <c r="W179" s="32"/>
      <c r="X179" s="53"/>
      <c r="Y179" s="54" t="str">
        <f>IFERROR(VLOOKUP(June[[#This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54" t="str">
        <f>IFERROR(VLOOKUP(June[[#This Row],[Drug Name4]],'Data Options'!$R$1:$S$100,2,FALSE), " ")</f>
        <v xml:space="preserve"> </v>
      </c>
      <c r="AI179" s="32"/>
      <c r="AJ179" s="32"/>
      <c r="AK179" s="53"/>
      <c r="AL179" s="54" t="str">
        <f>IFERROR(VLOOKUP(June[[#This Row],[Drug Name5]],'Data Options'!$R$1:$S$100,2,FALSE), " ")</f>
        <v xml:space="preserve"> </v>
      </c>
      <c r="AM179" s="32"/>
      <c r="AN179" s="32"/>
      <c r="AO179" s="53"/>
      <c r="AP179" s="54" t="str">
        <f>IFERROR(VLOOKUP(June[[#This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54" t="str">
        <f>IFERROR(VLOOKUP(June[[#This Row],[Drug Name7]],'Data Options'!$R$1:$S$100,2,FALSE), " ")</f>
        <v xml:space="preserve"> </v>
      </c>
      <c r="AZ179" s="32"/>
      <c r="BA179" s="32"/>
      <c r="BB179" s="53"/>
      <c r="BC179" s="54" t="str">
        <f>IFERROR(VLOOKUP(June[[#This Row],[Drug Name8]],'Data Options'!$R$1:$S$100,2,FALSE), " ")</f>
        <v xml:space="preserve"> </v>
      </c>
      <c r="BD179" s="32"/>
      <c r="BE179" s="32"/>
      <c r="BF179" s="53"/>
      <c r="BG179" s="54" t="str">
        <f>IFERROR(VLOOKUP(June[[#This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54" t="str">
        <f>IFERROR(VLOOKUP(June[[#This Row],[Drug Name]],'Data Options'!$R$1:$S$100,2,FALSE), " ")</f>
        <v xml:space="preserve"> </v>
      </c>
      <c r="R180" s="32"/>
      <c r="S180" s="32"/>
      <c r="T180" s="53"/>
      <c r="U180" s="54" t="str">
        <f>IFERROR(VLOOKUP(June[[#This Row],[Drug Name2]],'Data Options'!$R$1:$S$100,2,FALSE), " ")</f>
        <v xml:space="preserve"> </v>
      </c>
      <c r="V180" s="32"/>
      <c r="W180" s="32"/>
      <c r="X180" s="53"/>
      <c r="Y180" s="54" t="str">
        <f>IFERROR(VLOOKUP(June[[#This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54" t="str">
        <f>IFERROR(VLOOKUP(June[[#This Row],[Drug Name4]],'Data Options'!$R$1:$S$100,2,FALSE), " ")</f>
        <v xml:space="preserve"> </v>
      </c>
      <c r="AI180" s="32"/>
      <c r="AJ180" s="32"/>
      <c r="AK180" s="53"/>
      <c r="AL180" s="54" t="str">
        <f>IFERROR(VLOOKUP(June[[#This Row],[Drug Name5]],'Data Options'!$R$1:$S$100,2,FALSE), " ")</f>
        <v xml:space="preserve"> </v>
      </c>
      <c r="AM180" s="32"/>
      <c r="AN180" s="32"/>
      <c r="AO180" s="53"/>
      <c r="AP180" s="54" t="str">
        <f>IFERROR(VLOOKUP(June[[#This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54" t="str">
        <f>IFERROR(VLOOKUP(June[[#This Row],[Drug Name7]],'Data Options'!$R$1:$S$100,2,FALSE), " ")</f>
        <v xml:space="preserve"> </v>
      </c>
      <c r="AZ180" s="32"/>
      <c r="BA180" s="32"/>
      <c r="BB180" s="53"/>
      <c r="BC180" s="54" t="str">
        <f>IFERROR(VLOOKUP(June[[#This Row],[Drug Name8]],'Data Options'!$R$1:$S$100,2,FALSE), " ")</f>
        <v xml:space="preserve"> </v>
      </c>
      <c r="BD180" s="32"/>
      <c r="BE180" s="32"/>
      <c r="BF180" s="53"/>
      <c r="BG180" s="54" t="str">
        <f>IFERROR(VLOOKUP(June[[#This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54" t="str">
        <f>IFERROR(VLOOKUP(June[[#This Row],[Drug Name]],'Data Options'!$R$1:$S$100,2,FALSE), " ")</f>
        <v xml:space="preserve"> </v>
      </c>
      <c r="R181" s="32"/>
      <c r="S181" s="32"/>
      <c r="T181" s="53"/>
      <c r="U181" s="54" t="str">
        <f>IFERROR(VLOOKUP(June[[#This Row],[Drug Name2]],'Data Options'!$R$1:$S$100,2,FALSE), " ")</f>
        <v xml:space="preserve"> </v>
      </c>
      <c r="V181" s="32"/>
      <c r="W181" s="32"/>
      <c r="X181" s="53"/>
      <c r="Y181" s="54" t="str">
        <f>IFERROR(VLOOKUP(June[[#This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54" t="str">
        <f>IFERROR(VLOOKUP(June[[#This Row],[Drug Name4]],'Data Options'!$R$1:$S$100,2,FALSE), " ")</f>
        <v xml:space="preserve"> </v>
      </c>
      <c r="AI181" s="32"/>
      <c r="AJ181" s="32"/>
      <c r="AK181" s="53"/>
      <c r="AL181" s="54" t="str">
        <f>IFERROR(VLOOKUP(June[[#This Row],[Drug Name5]],'Data Options'!$R$1:$S$100,2,FALSE), " ")</f>
        <v xml:space="preserve"> </v>
      </c>
      <c r="AM181" s="32"/>
      <c r="AN181" s="32"/>
      <c r="AO181" s="53"/>
      <c r="AP181" s="54" t="str">
        <f>IFERROR(VLOOKUP(June[[#This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54" t="str">
        <f>IFERROR(VLOOKUP(June[[#This Row],[Drug Name7]],'Data Options'!$R$1:$S$100,2,FALSE), " ")</f>
        <v xml:space="preserve"> </v>
      </c>
      <c r="AZ181" s="32"/>
      <c r="BA181" s="32"/>
      <c r="BB181" s="53"/>
      <c r="BC181" s="54" t="str">
        <f>IFERROR(VLOOKUP(June[[#This Row],[Drug Name8]],'Data Options'!$R$1:$S$100,2,FALSE), " ")</f>
        <v xml:space="preserve"> </v>
      </c>
      <c r="BD181" s="32"/>
      <c r="BE181" s="32"/>
      <c r="BF181" s="53"/>
      <c r="BG181" s="54" t="str">
        <f>IFERROR(VLOOKUP(June[[#This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54" t="str">
        <f>IFERROR(VLOOKUP(June[[#This Row],[Drug Name]],'Data Options'!$R$1:$S$100,2,FALSE), " ")</f>
        <v xml:space="preserve"> </v>
      </c>
      <c r="R182" s="32"/>
      <c r="S182" s="32"/>
      <c r="T182" s="53"/>
      <c r="U182" s="54" t="str">
        <f>IFERROR(VLOOKUP(June[[#This Row],[Drug Name2]],'Data Options'!$R$1:$S$100,2,FALSE), " ")</f>
        <v xml:space="preserve"> </v>
      </c>
      <c r="V182" s="32"/>
      <c r="W182" s="32"/>
      <c r="X182" s="53"/>
      <c r="Y182" s="54" t="str">
        <f>IFERROR(VLOOKUP(June[[#This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54" t="str">
        <f>IFERROR(VLOOKUP(June[[#This Row],[Drug Name4]],'Data Options'!$R$1:$S$100,2,FALSE), " ")</f>
        <v xml:space="preserve"> </v>
      </c>
      <c r="AI182" s="32"/>
      <c r="AJ182" s="32"/>
      <c r="AK182" s="53"/>
      <c r="AL182" s="54" t="str">
        <f>IFERROR(VLOOKUP(June[[#This Row],[Drug Name5]],'Data Options'!$R$1:$S$100,2,FALSE), " ")</f>
        <v xml:space="preserve"> </v>
      </c>
      <c r="AM182" s="32"/>
      <c r="AN182" s="32"/>
      <c r="AO182" s="53"/>
      <c r="AP182" s="54" t="str">
        <f>IFERROR(VLOOKUP(June[[#This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54" t="str">
        <f>IFERROR(VLOOKUP(June[[#This Row],[Drug Name7]],'Data Options'!$R$1:$S$100,2,FALSE), " ")</f>
        <v xml:space="preserve"> </v>
      </c>
      <c r="AZ182" s="32"/>
      <c r="BA182" s="32"/>
      <c r="BB182" s="53"/>
      <c r="BC182" s="54" t="str">
        <f>IFERROR(VLOOKUP(June[[#This Row],[Drug Name8]],'Data Options'!$R$1:$S$100,2,FALSE), " ")</f>
        <v xml:space="preserve"> </v>
      </c>
      <c r="BD182" s="32"/>
      <c r="BE182" s="32"/>
      <c r="BF182" s="53"/>
      <c r="BG182" s="54" t="str">
        <f>IFERROR(VLOOKUP(June[[#This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54" t="str">
        <f>IFERROR(VLOOKUP(June[[#This Row],[Drug Name]],'Data Options'!$R$1:$S$100,2,FALSE), " ")</f>
        <v xml:space="preserve"> </v>
      </c>
      <c r="R183" s="32"/>
      <c r="S183" s="32"/>
      <c r="T183" s="53"/>
      <c r="U183" s="54" t="str">
        <f>IFERROR(VLOOKUP(June[[#This Row],[Drug Name2]],'Data Options'!$R$1:$S$100,2,FALSE), " ")</f>
        <v xml:space="preserve"> </v>
      </c>
      <c r="V183" s="32"/>
      <c r="W183" s="32"/>
      <c r="X183" s="53"/>
      <c r="Y183" s="54" t="str">
        <f>IFERROR(VLOOKUP(June[[#This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54" t="str">
        <f>IFERROR(VLOOKUP(June[[#This Row],[Drug Name4]],'Data Options'!$R$1:$S$100,2,FALSE), " ")</f>
        <v xml:space="preserve"> </v>
      </c>
      <c r="AI183" s="32"/>
      <c r="AJ183" s="32"/>
      <c r="AK183" s="53"/>
      <c r="AL183" s="54" t="str">
        <f>IFERROR(VLOOKUP(June[[#This Row],[Drug Name5]],'Data Options'!$R$1:$S$100,2,FALSE), " ")</f>
        <v xml:space="preserve"> </v>
      </c>
      <c r="AM183" s="32"/>
      <c r="AN183" s="32"/>
      <c r="AO183" s="53"/>
      <c r="AP183" s="54" t="str">
        <f>IFERROR(VLOOKUP(June[[#This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54" t="str">
        <f>IFERROR(VLOOKUP(June[[#This Row],[Drug Name7]],'Data Options'!$R$1:$S$100,2,FALSE), " ")</f>
        <v xml:space="preserve"> </v>
      </c>
      <c r="AZ183" s="32"/>
      <c r="BA183" s="32"/>
      <c r="BB183" s="53"/>
      <c r="BC183" s="54" t="str">
        <f>IFERROR(VLOOKUP(June[[#This Row],[Drug Name8]],'Data Options'!$R$1:$S$100,2,FALSE), " ")</f>
        <v xml:space="preserve"> </v>
      </c>
      <c r="BD183" s="32"/>
      <c r="BE183" s="32"/>
      <c r="BF183" s="53"/>
      <c r="BG183" s="54" t="str">
        <f>IFERROR(VLOOKUP(June[[#This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54" t="str">
        <f>IFERROR(VLOOKUP(June[[#This Row],[Drug Name]],'Data Options'!$R$1:$S$100,2,FALSE), " ")</f>
        <v xml:space="preserve"> </v>
      </c>
      <c r="R184" s="32"/>
      <c r="S184" s="32"/>
      <c r="T184" s="53"/>
      <c r="U184" s="54" t="str">
        <f>IFERROR(VLOOKUP(June[[#This Row],[Drug Name2]],'Data Options'!$R$1:$S$100,2,FALSE), " ")</f>
        <v xml:space="preserve"> </v>
      </c>
      <c r="V184" s="32"/>
      <c r="W184" s="32"/>
      <c r="X184" s="53"/>
      <c r="Y184" s="54" t="str">
        <f>IFERROR(VLOOKUP(June[[#This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54" t="str">
        <f>IFERROR(VLOOKUP(June[[#This Row],[Drug Name4]],'Data Options'!$R$1:$S$100,2,FALSE), " ")</f>
        <v xml:space="preserve"> </v>
      </c>
      <c r="AI184" s="32"/>
      <c r="AJ184" s="32"/>
      <c r="AK184" s="53"/>
      <c r="AL184" s="54" t="str">
        <f>IFERROR(VLOOKUP(June[[#This Row],[Drug Name5]],'Data Options'!$R$1:$S$100,2,FALSE), " ")</f>
        <v xml:space="preserve"> </v>
      </c>
      <c r="AM184" s="32"/>
      <c r="AN184" s="32"/>
      <c r="AO184" s="53"/>
      <c r="AP184" s="54" t="str">
        <f>IFERROR(VLOOKUP(June[[#This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54" t="str">
        <f>IFERROR(VLOOKUP(June[[#This Row],[Drug Name7]],'Data Options'!$R$1:$S$100,2,FALSE), " ")</f>
        <v xml:space="preserve"> </v>
      </c>
      <c r="AZ184" s="32"/>
      <c r="BA184" s="32"/>
      <c r="BB184" s="53"/>
      <c r="BC184" s="54" t="str">
        <f>IFERROR(VLOOKUP(June[[#This Row],[Drug Name8]],'Data Options'!$R$1:$S$100,2,FALSE), " ")</f>
        <v xml:space="preserve"> </v>
      </c>
      <c r="BD184" s="32"/>
      <c r="BE184" s="32"/>
      <c r="BF184" s="53"/>
      <c r="BG184" s="54" t="str">
        <f>IFERROR(VLOOKUP(June[[#This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54" t="str">
        <f>IFERROR(VLOOKUP(June[[#This Row],[Drug Name]],'Data Options'!$R$1:$S$100,2,FALSE), " ")</f>
        <v xml:space="preserve"> </v>
      </c>
      <c r="R185" s="32"/>
      <c r="S185" s="32"/>
      <c r="T185" s="53"/>
      <c r="U185" s="54" t="str">
        <f>IFERROR(VLOOKUP(June[[#This Row],[Drug Name2]],'Data Options'!$R$1:$S$100,2,FALSE), " ")</f>
        <v xml:space="preserve"> </v>
      </c>
      <c r="V185" s="32"/>
      <c r="W185" s="32"/>
      <c r="X185" s="53"/>
      <c r="Y185" s="54" t="str">
        <f>IFERROR(VLOOKUP(June[[#This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54" t="str">
        <f>IFERROR(VLOOKUP(June[[#This Row],[Drug Name4]],'Data Options'!$R$1:$S$100,2,FALSE), " ")</f>
        <v xml:space="preserve"> </v>
      </c>
      <c r="AI185" s="32"/>
      <c r="AJ185" s="32"/>
      <c r="AK185" s="53"/>
      <c r="AL185" s="54" t="str">
        <f>IFERROR(VLOOKUP(June[[#This Row],[Drug Name5]],'Data Options'!$R$1:$S$100,2,FALSE), " ")</f>
        <v xml:space="preserve"> </v>
      </c>
      <c r="AM185" s="32"/>
      <c r="AN185" s="32"/>
      <c r="AO185" s="53"/>
      <c r="AP185" s="54" t="str">
        <f>IFERROR(VLOOKUP(June[[#This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54" t="str">
        <f>IFERROR(VLOOKUP(June[[#This Row],[Drug Name7]],'Data Options'!$R$1:$S$100,2,FALSE), " ")</f>
        <v xml:space="preserve"> </v>
      </c>
      <c r="AZ185" s="32"/>
      <c r="BA185" s="32"/>
      <c r="BB185" s="53"/>
      <c r="BC185" s="54" t="str">
        <f>IFERROR(VLOOKUP(June[[#This Row],[Drug Name8]],'Data Options'!$R$1:$S$100,2,FALSE), " ")</f>
        <v xml:space="preserve"> </v>
      </c>
      <c r="BD185" s="32"/>
      <c r="BE185" s="32"/>
      <c r="BF185" s="53"/>
      <c r="BG185" s="54" t="str">
        <f>IFERROR(VLOOKUP(June[[#This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54" t="str">
        <f>IFERROR(VLOOKUP(June[[#This Row],[Drug Name]],'Data Options'!$R$1:$S$100,2,FALSE), " ")</f>
        <v xml:space="preserve"> </v>
      </c>
      <c r="R186" s="32"/>
      <c r="S186" s="32"/>
      <c r="T186" s="53"/>
      <c r="U186" s="54" t="str">
        <f>IFERROR(VLOOKUP(June[[#This Row],[Drug Name2]],'Data Options'!$R$1:$S$100,2,FALSE), " ")</f>
        <v xml:space="preserve"> </v>
      </c>
      <c r="V186" s="32"/>
      <c r="W186" s="32"/>
      <c r="X186" s="53"/>
      <c r="Y186" s="54" t="str">
        <f>IFERROR(VLOOKUP(June[[#This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54" t="str">
        <f>IFERROR(VLOOKUP(June[[#This Row],[Drug Name4]],'Data Options'!$R$1:$S$100,2,FALSE), " ")</f>
        <v xml:space="preserve"> </v>
      </c>
      <c r="AI186" s="32"/>
      <c r="AJ186" s="32"/>
      <c r="AK186" s="53"/>
      <c r="AL186" s="54" t="str">
        <f>IFERROR(VLOOKUP(June[[#This Row],[Drug Name5]],'Data Options'!$R$1:$S$100,2,FALSE), " ")</f>
        <v xml:space="preserve"> </v>
      </c>
      <c r="AM186" s="32"/>
      <c r="AN186" s="32"/>
      <c r="AO186" s="53"/>
      <c r="AP186" s="54" t="str">
        <f>IFERROR(VLOOKUP(June[[#This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54" t="str">
        <f>IFERROR(VLOOKUP(June[[#This Row],[Drug Name7]],'Data Options'!$R$1:$S$100,2,FALSE), " ")</f>
        <v xml:space="preserve"> </v>
      </c>
      <c r="AZ186" s="32"/>
      <c r="BA186" s="32"/>
      <c r="BB186" s="53"/>
      <c r="BC186" s="54" t="str">
        <f>IFERROR(VLOOKUP(June[[#This Row],[Drug Name8]],'Data Options'!$R$1:$S$100,2,FALSE), " ")</f>
        <v xml:space="preserve"> </v>
      </c>
      <c r="BD186" s="32"/>
      <c r="BE186" s="32"/>
      <c r="BF186" s="53"/>
      <c r="BG186" s="54" t="str">
        <f>IFERROR(VLOOKUP(June[[#This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54" t="str">
        <f>IFERROR(VLOOKUP(June[[#This Row],[Drug Name]],'Data Options'!$R$1:$S$100,2,FALSE), " ")</f>
        <v xml:space="preserve"> </v>
      </c>
      <c r="R187" s="32"/>
      <c r="S187" s="32"/>
      <c r="T187" s="53"/>
      <c r="U187" s="54" t="str">
        <f>IFERROR(VLOOKUP(June[[#This Row],[Drug Name2]],'Data Options'!$R$1:$S$100,2,FALSE), " ")</f>
        <v xml:space="preserve"> </v>
      </c>
      <c r="V187" s="32"/>
      <c r="W187" s="32"/>
      <c r="X187" s="53"/>
      <c r="Y187" s="54" t="str">
        <f>IFERROR(VLOOKUP(June[[#This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54" t="str">
        <f>IFERROR(VLOOKUP(June[[#This Row],[Drug Name4]],'Data Options'!$R$1:$S$100,2,FALSE), " ")</f>
        <v xml:space="preserve"> </v>
      </c>
      <c r="AI187" s="32"/>
      <c r="AJ187" s="32"/>
      <c r="AK187" s="53"/>
      <c r="AL187" s="54" t="str">
        <f>IFERROR(VLOOKUP(June[[#This Row],[Drug Name5]],'Data Options'!$R$1:$S$100,2,FALSE), " ")</f>
        <v xml:space="preserve"> </v>
      </c>
      <c r="AM187" s="32"/>
      <c r="AN187" s="32"/>
      <c r="AO187" s="53"/>
      <c r="AP187" s="54" t="str">
        <f>IFERROR(VLOOKUP(June[[#This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54" t="str">
        <f>IFERROR(VLOOKUP(June[[#This Row],[Drug Name7]],'Data Options'!$R$1:$S$100,2,FALSE), " ")</f>
        <v xml:space="preserve"> </v>
      </c>
      <c r="AZ187" s="32"/>
      <c r="BA187" s="32"/>
      <c r="BB187" s="53"/>
      <c r="BC187" s="54" t="str">
        <f>IFERROR(VLOOKUP(June[[#This Row],[Drug Name8]],'Data Options'!$R$1:$S$100,2,FALSE), " ")</f>
        <v xml:space="preserve"> </v>
      </c>
      <c r="BD187" s="32"/>
      <c r="BE187" s="32"/>
      <c r="BF187" s="53"/>
      <c r="BG187" s="54" t="str">
        <f>IFERROR(VLOOKUP(June[[#This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54" t="str">
        <f>IFERROR(VLOOKUP(June[[#This Row],[Drug Name]],'Data Options'!$R$1:$S$100,2,FALSE), " ")</f>
        <v xml:space="preserve"> </v>
      </c>
      <c r="R188" s="32"/>
      <c r="S188" s="32"/>
      <c r="T188" s="53"/>
      <c r="U188" s="54" t="str">
        <f>IFERROR(VLOOKUP(June[[#This Row],[Drug Name2]],'Data Options'!$R$1:$S$100,2,FALSE), " ")</f>
        <v xml:space="preserve"> </v>
      </c>
      <c r="V188" s="32"/>
      <c r="W188" s="32"/>
      <c r="X188" s="53"/>
      <c r="Y188" s="54" t="str">
        <f>IFERROR(VLOOKUP(June[[#This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54" t="str">
        <f>IFERROR(VLOOKUP(June[[#This Row],[Drug Name4]],'Data Options'!$R$1:$S$100,2,FALSE), " ")</f>
        <v xml:space="preserve"> </v>
      </c>
      <c r="AI188" s="32"/>
      <c r="AJ188" s="32"/>
      <c r="AK188" s="53"/>
      <c r="AL188" s="54" t="str">
        <f>IFERROR(VLOOKUP(June[[#This Row],[Drug Name5]],'Data Options'!$R$1:$S$100,2,FALSE), " ")</f>
        <v xml:space="preserve"> </v>
      </c>
      <c r="AM188" s="32"/>
      <c r="AN188" s="32"/>
      <c r="AO188" s="53"/>
      <c r="AP188" s="54" t="str">
        <f>IFERROR(VLOOKUP(June[[#This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54" t="str">
        <f>IFERROR(VLOOKUP(June[[#This Row],[Drug Name7]],'Data Options'!$R$1:$S$100,2,FALSE), " ")</f>
        <v xml:space="preserve"> </v>
      </c>
      <c r="AZ188" s="32"/>
      <c r="BA188" s="32"/>
      <c r="BB188" s="53"/>
      <c r="BC188" s="54" t="str">
        <f>IFERROR(VLOOKUP(June[[#This Row],[Drug Name8]],'Data Options'!$R$1:$S$100,2,FALSE), " ")</f>
        <v xml:space="preserve"> </v>
      </c>
      <c r="BD188" s="32"/>
      <c r="BE188" s="32"/>
      <c r="BF188" s="53"/>
      <c r="BG188" s="54" t="str">
        <f>IFERROR(VLOOKUP(June[[#This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54" t="str">
        <f>IFERROR(VLOOKUP(June[[#This Row],[Drug Name]],'Data Options'!$R$1:$S$100,2,FALSE), " ")</f>
        <v xml:space="preserve"> </v>
      </c>
      <c r="R189" s="32"/>
      <c r="S189" s="32"/>
      <c r="T189" s="53"/>
      <c r="U189" s="54" t="str">
        <f>IFERROR(VLOOKUP(June[[#This Row],[Drug Name2]],'Data Options'!$R$1:$S$100,2,FALSE), " ")</f>
        <v xml:space="preserve"> </v>
      </c>
      <c r="V189" s="32"/>
      <c r="W189" s="32"/>
      <c r="X189" s="53"/>
      <c r="Y189" s="54" t="str">
        <f>IFERROR(VLOOKUP(June[[#This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54" t="str">
        <f>IFERROR(VLOOKUP(June[[#This Row],[Drug Name4]],'Data Options'!$R$1:$S$100,2,FALSE), " ")</f>
        <v xml:space="preserve"> </v>
      </c>
      <c r="AI189" s="32"/>
      <c r="AJ189" s="32"/>
      <c r="AK189" s="53"/>
      <c r="AL189" s="54" t="str">
        <f>IFERROR(VLOOKUP(June[[#This Row],[Drug Name5]],'Data Options'!$R$1:$S$100,2,FALSE), " ")</f>
        <v xml:space="preserve"> </v>
      </c>
      <c r="AM189" s="32"/>
      <c r="AN189" s="32"/>
      <c r="AO189" s="53"/>
      <c r="AP189" s="54" t="str">
        <f>IFERROR(VLOOKUP(June[[#This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54" t="str">
        <f>IFERROR(VLOOKUP(June[[#This Row],[Drug Name7]],'Data Options'!$R$1:$S$100,2,FALSE), " ")</f>
        <v xml:space="preserve"> </v>
      </c>
      <c r="AZ189" s="32"/>
      <c r="BA189" s="32"/>
      <c r="BB189" s="53"/>
      <c r="BC189" s="54" t="str">
        <f>IFERROR(VLOOKUP(June[[#This Row],[Drug Name8]],'Data Options'!$R$1:$S$100,2,FALSE), " ")</f>
        <v xml:space="preserve"> </v>
      </c>
      <c r="BD189" s="32"/>
      <c r="BE189" s="32"/>
      <c r="BF189" s="53"/>
      <c r="BG189" s="54" t="str">
        <f>IFERROR(VLOOKUP(June[[#This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54" t="str">
        <f>IFERROR(VLOOKUP(June[[#This Row],[Drug Name]],'Data Options'!$R$1:$S$100,2,FALSE), " ")</f>
        <v xml:space="preserve"> </v>
      </c>
      <c r="R190" s="32"/>
      <c r="S190" s="32"/>
      <c r="T190" s="53"/>
      <c r="U190" s="54" t="str">
        <f>IFERROR(VLOOKUP(June[[#This Row],[Drug Name2]],'Data Options'!$R$1:$S$100,2,FALSE), " ")</f>
        <v xml:space="preserve"> </v>
      </c>
      <c r="V190" s="32"/>
      <c r="W190" s="32"/>
      <c r="X190" s="53"/>
      <c r="Y190" s="54" t="str">
        <f>IFERROR(VLOOKUP(June[[#This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54" t="str">
        <f>IFERROR(VLOOKUP(June[[#This Row],[Drug Name4]],'Data Options'!$R$1:$S$100,2,FALSE), " ")</f>
        <v xml:space="preserve"> </v>
      </c>
      <c r="AI190" s="32"/>
      <c r="AJ190" s="32"/>
      <c r="AK190" s="53"/>
      <c r="AL190" s="54" t="str">
        <f>IFERROR(VLOOKUP(June[[#This Row],[Drug Name5]],'Data Options'!$R$1:$S$100,2,FALSE), " ")</f>
        <v xml:space="preserve"> </v>
      </c>
      <c r="AM190" s="32"/>
      <c r="AN190" s="32"/>
      <c r="AO190" s="53"/>
      <c r="AP190" s="54" t="str">
        <f>IFERROR(VLOOKUP(June[[#This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54" t="str">
        <f>IFERROR(VLOOKUP(June[[#This Row],[Drug Name7]],'Data Options'!$R$1:$S$100,2,FALSE), " ")</f>
        <v xml:space="preserve"> </v>
      </c>
      <c r="AZ190" s="32"/>
      <c r="BA190" s="32"/>
      <c r="BB190" s="53"/>
      <c r="BC190" s="54" t="str">
        <f>IFERROR(VLOOKUP(June[[#This Row],[Drug Name8]],'Data Options'!$R$1:$S$100,2,FALSE), " ")</f>
        <v xml:space="preserve"> </v>
      </c>
      <c r="BD190" s="32"/>
      <c r="BE190" s="32"/>
      <c r="BF190" s="53"/>
      <c r="BG190" s="54" t="str">
        <f>IFERROR(VLOOKUP(June[[#This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54" t="str">
        <f>IFERROR(VLOOKUP(June[[#This Row],[Drug Name]],'Data Options'!$R$1:$S$100,2,FALSE), " ")</f>
        <v xml:space="preserve"> </v>
      </c>
      <c r="R191" s="32"/>
      <c r="S191" s="32"/>
      <c r="T191" s="53"/>
      <c r="U191" s="54" t="str">
        <f>IFERROR(VLOOKUP(June[[#This Row],[Drug Name2]],'Data Options'!$R$1:$S$100,2,FALSE), " ")</f>
        <v xml:space="preserve"> </v>
      </c>
      <c r="V191" s="32"/>
      <c r="W191" s="32"/>
      <c r="X191" s="53"/>
      <c r="Y191" s="54" t="str">
        <f>IFERROR(VLOOKUP(June[[#This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54" t="str">
        <f>IFERROR(VLOOKUP(June[[#This Row],[Drug Name4]],'Data Options'!$R$1:$S$100,2,FALSE), " ")</f>
        <v xml:space="preserve"> </v>
      </c>
      <c r="AI191" s="32"/>
      <c r="AJ191" s="32"/>
      <c r="AK191" s="53"/>
      <c r="AL191" s="54" t="str">
        <f>IFERROR(VLOOKUP(June[[#This Row],[Drug Name5]],'Data Options'!$R$1:$S$100,2,FALSE), " ")</f>
        <v xml:space="preserve"> </v>
      </c>
      <c r="AM191" s="32"/>
      <c r="AN191" s="32"/>
      <c r="AO191" s="53"/>
      <c r="AP191" s="54" t="str">
        <f>IFERROR(VLOOKUP(June[[#This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54" t="str">
        <f>IFERROR(VLOOKUP(June[[#This Row],[Drug Name7]],'Data Options'!$R$1:$S$100,2,FALSE), " ")</f>
        <v xml:space="preserve"> </v>
      </c>
      <c r="AZ191" s="32"/>
      <c r="BA191" s="32"/>
      <c r="BB191" s="53"/>
      <c r="BC191" s="54" t="str">
        <f>IFERROR(VLOOKUP(June[[#This Row],[Drug Name8]],'Data Options'!$R$1:$S$100,2,FALSE), " ")</f>
        <v xml:space="preserve"> </v>
      </c>
      <c r="BD191" s="32"/>
      <c r="BE191" s="32"/>
      <c r="BF191" s="53"/>
      <c r="BG191" s="54" t="str">
        <f>IFERROR(VLOOKUP(June[[#This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54" t="str">
        <f>IFERROR(VLOOKUP(June[[#This Row],[Drug Name]],'Data Options'!$R$1:$S$100,2,FALSE), " ")</f>
        <v xml:space="preserve"> </v>
      </c>
      <c r="R192" s="32"/>
      <c r="S192" s="32"/>
      <c r="T192" s="53"/>
      <c r="U192" s="54" t="str">
        <f>IFERROR(VLOOKUP(June[[#This Row],[Drug Name2]],'Data Options'!$R$1:$S$100,2,FALSE), " ")</f>
        <v xml:space="preserve"> </v>
      </c>
      <c r="V192" s="32"/>
      <c r="W192" s="32"/>
      <c r="X192" s="53"/>
      <c r="Y192" s="54" t="str">
        <f>IFERROR(VLOOKUP(June[[#This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54" t="str">
        <f>IFERROR(VLOOKUP(June[[#This Row],[Drug Name4]],'Data Options'!$R$1:$S$100,2,FALSE), " ")</f>
        <v xml:space="preserve"> </v>
      </c>
      <c r="AI192" s="32"/>
      <c r="AJ192" s="32"/>
      <c r="AK192" s="53"/>
      <c r="AL192" s="54" t="str">
        <f>IFERROR(VLOOKUP(June[[#This Row],[Drug Name5]],'Data Options'!$R$1:$S$100,2,FALSE), " ")</f>
        <v xml:space="preserve"> </v>
      </c>
      <c r="AM192" s="32"/>
      <c r="AN192" s="32"/>
      <c r="AO192" s="53"/>
      <c r="AP192" s="54" t="str">
        <f>IFERROR(VLOOKUP(June[[#This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54" t="str">
        <f>IFERROR(VLOOKUP(June[[#This Row],[Drug Name7]],'Data Options'!$R$1:$S$100,2,FALSE), " ")</f>
        <v xml:space="preserve"> </v>
      </c>
      <c r="AZ192" s="32"/>
      <c r="BA192" s="32"/>
      <c r="BB192" s="53"/>
      <c r="BC192" s="54" t="str">
        <f>IFERROR(VLOOKUP(June[[#This Row],[Drug Name8]],'Data Options'!$R$1:$S$100,2,FALSE), " ")</f>
        <v xml:space="preserve"> </v>
      </c>
      <c r="BD192" s="32"/>
      <c r="BE192" s="32"/>
      <c r="BF192" s="53"/>
      <c r="BG192" s="54" t="str">
        <f>IFERROR(VLOOKUP(June[[#This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54" t="str">
        <f>IFERROR(VLOOKUP(June[[#This Row],[Drug Name]],'Data Options'!$R$1:$S$100,2,FALSE), " ")</f>
        <v xml:space="preserve"> </v>
      </c>
      <c r="R193" s="32"/>
      <c r="S193" s="32"/>
      <c r="T193" s="53"/>
      <c r="U193" s="54" t="str">
        <f>IFERROR(VLOOKUP(June[[#This Row],[Drug Name2]],'Data Options'!$R$1:$S$100,2,FALSE), " ")</f>
        <v xml:space="preserve"> </v>
      </c>
      <c r="V193" s="32"/>
      <c r="W193" s="32"/>
      <c r="X193" s="53"/>
      <c r="Y193" s="54" t="str">
        <f>IFERROR(VLOOKUP(June[[#This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54" t="str">
        <f>IFERROR(VLOOKUP(June[[#This Row],[Drug Name4]],'Data Options'!$R$1:$S$100,2,FALSE), " ")</f>
        <v xml:space="preserve"> </v>
      </c>
      <c r="AI193" s="32"/>
      <c r="AJ193" s="32"/>
      <c r="AK193" s="53"/>
      <c r="AL193" s="54" t="str">
        <f>IFERROR(VLOOKUP(June[[#This Row],[Drug Name5]],'Data Options'!$R$1:$S$100,2,FALSE), " ")</f>
        <v xml:space="preserve"> </v>
      </c>
      <c r="AM193" s="32"/>
      <c r="AN193" s="32"/>
      <c r="AO193" s="53"/>
      <c r="AP193" s="54" t="str">
        <f>IFERROR(VLOOKUP(June[[#This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54" t="str">
        <f>IFERROR(VLOOKUP(June[[#This Row],[Drug Name7]],'Data Options'!$R$1:$S$100,2,FALSE), " ")</f>
        <v xml:space="preserve"> </v>
      </c>
      <c r="AZ193" s="32"/>
      <c r="BA193" s="32"/>
      <c r="BB193" s="53"/>
      <c r="BC193" s="54" t="str">
        <f>IFERROR(VLOOKUP(June[[#This Row],[Drug Name8]],'Data Options'!$R$1:$S$100,2,FALSE), " ")</f>
        <v xml:space="preserve"> </v>
      </c>
      <c r="BD193" s="32"/>
      <c r="BE193" s="32"/>
      <c r="BF193" s="53"/>
      <c r="BG193" s="54" t="str">
        <f>IFERROR(VLOOKUP(June[[#This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54" t="str">
        <f>IFERROR(VLOOKUP(June[[#This Row],[Drug Name]],'Data Options'!$R$1:$S$100,2,FALSE), " ")</f>
        <v xml:space="preserve"> </v>
      </c>
      <c r="R194" s="32"/>
      <c r="S194" s="32"/>
      <c r="T194" s="53"/>
      <c r="U194" s="54" t="str">
        <f>IFERROR(VLOOKUP(June[[#This Row],[Drug Name2]],'Data Options'!$R$1:$S$100,2,FALSE), " ")</f>
        <v xml:space="preserve"> </v>
      </c>
      <c r="V194" s="32"/>
      <c r="W194" s="32"/>
      <c r="X194" s="53"/>
      <c r="Y194" s="54" t="str">
        <f>IFERROR(VLOOKUP(June[[#This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54" t="str">
        <f>IFERROR(VLOOKUP(June[[#This Row],[Drug Name4]],'Data Options'!$R$1:$S$100,2,FALSE), " ")</f>
        <v xml:space="preserve"> </v>
      </c>
      <c r="AI194" s="32"/>
      <c r="AJ194" s="32"/>
      <c r="AK194" s="53"/>
      <c r="AL194" s="54" t="str">
        <f>IFERROR(VLOOKUP(June[[#This Row],[Drug Name5]],'Data Options'!$R$1:$S$100,2,FALSE), " ")</f>
        <v xml:space="preserve"> </v>
      </c>
      <c r="AM194" s="32"/>
      <c r="AN194" s="32"/>
      <c r="AO194" s="53"/>
      <c r="AP194" s="54" t="str">
        <f>IFERROR(VLOOKUP(June[[#This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54" t="str">
        <f>IFERROR(VLOOKUP(June[[#This Row],[Drug Name7]],'Data Options'!$R$1:$S$100,2,FALSE), " ")</f>
        <v xml:space="preserve"> </v>
      </c>
      <c r="AZ194" s="32"/>
      <c r="BA194" s="32"/>
      <c r="BB194" s="53"/>
      <c r="BC194" s="54" t="str">
        <f>IFERROR(VLOOKUP(June[[#This Row],[Drug Name8]],'Data Options'!$R$1:$S$100,2,FALSE), " ")</f>
        <v xml:space="preserve"> </v>
      </c>
      <c r="BD194" s="32"/>
      <c r="BE194" s="32"/>
      <c r="BF194" s="53"/>
      <c r="BG194" s="54" t="str">
        <f>IFERROR(VLOOKUP(June[[#This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54" t="str">
        <f>IFERROR(VLOOKUP(June[[#This Row],[Drug Name]],'Data Options'!$R$1:$S$100,2,FALSE), " ")</f>
        <v xml:space="preserve"> </v>
      </c>
      <c r="R195" s="32"/>
      <c r="S195" s="32"/>
      <c r="T195" s="53"/>
      <c r="U195" s="54" t="str">
        <f>IFERROR(VLOOKUP(June[[#This Row],[Drug Name2]],'Data Options'!$R$1:$S$100,2,FALSE), " ")</f>
        <v xml:space="preserve"> </v>
      </c>
      <c r="V195" s="32"/>
      <c r="W195" s="32"/>
      <c r="X195" s="53"/>
      <c r="Y195" s="54" t="str">
        <f>IFERROR(VLOOKUP(June[[#This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54" t="str">
        <f>IFERROR(VLOOKUP(June[[#This Row],[Drug Name4]],'Data Options'!$R$1:$S$100,2,FALSE), " ")</f>
        <v xml:space="preserve"> </v>
      </c>
      <c r="AI195" s="32"/>
      <c r="AJ195" s="32"/>
      <c r="AK195" s="53"/>
      <c r="AL195" s="54" t="str">
        <f>IFERROR(VLOOKUP(June[[#This Row],[Drug Name5]],'Data Options'!$R$1:$S$100,2,FALSE), " ")</f>
        <v xml:space="preserve"> </v>
      </c>
      <c r="AM195" s="32"/>
      <c r="AN195" s="32"/>
      <c r="AO195" s="53"/>
      <c r="AP195" s="54" t="str">
        <f>IFERROR(VLOOKUP(June[[#This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54" t="str">
        <f>IFERROR(VLOOKUP(June[[#This Row],[Drug Name7]],'Data Options'!$R$1:$S$100,2,FALSE), " ")</f>
        <v xml:space="preserve"> </v>
      </c>
      <c r="AZ195" s="32"/>
      <c r="BA195" s="32"/>
      <c r="BB195" s="53"/>
      <c r="BC195" s="54" t="str">
        <f>IFERROR(VLOOKUP(June[[#This Row],[Drug Name8]],'Data Options'!$R$1:$S$100,2,FALSE), " ")</f>
        <v xml:space="preserve"> </v>
      </c>
      <c r="BD195" s="32"/>
      <c r="BE195" s="32"/>
      <c r="BF195" s="53"/>
      <c r="BG195" s="54" t="str">
        <f>IFERROR(VLOOKUP(June[[#This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54" t="str">
        <f>IFERROR(VLOOKUP(June[[#This Row],[Drug Name]],'Data Options'!$R$1:$S$100,2,FALSE), " ")</f>
        <v xml:space="preserve"> </v>
      </c>
      <c r="R196" s="32"/>
      <c r="S196" s="32"/>
      <c r="T196" s="53"/>
      <c r="U196" s="54" t="str">
        <f>IFERROR(VLOOKUP(June[[#This Row],[Drug Name2]],'Data Options'!$R$1:$S$100,2,FALSE), " ")</f>
        <v xml:space="preserve"> </v>
      </c>
      <c r="V196" s="32"/>
      <c r="W196" s="32"/>
      <c r="X196" s="53"/>
      <c r="Y196" s="54" t="str">
        <f>IFERROR(VLOOKUP(June[[#This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54" t="str">
        <f>IFERROR(VLOOKUP(June[[#This Row],[Drug Name4]],'Data Options'!$R$1:$S$100,2,FALSE), " ")</f>
        <v xml:space="preserve"> </v>
      </c>
      <c r="AI196" s="32"/>
      <c r="AJ196" s="32"/>
      <c r="AK196" s="53"/>
      <c r="AL196" s="54" t="str">
        <f>IFERROR(VLOOKUP(June[[#This Row],[Drug Name5]],'Data Options'!$R$1:$S$100,2,FALSE), " ")</f>
        <v xml:space="preserve"> </v>
      </c>
      <c r="AM196" s="32"/>
      <c r="AN196" s="32"/>
      <c r="AO196" s="53"/>
      <c r="AP196" s="54" t="str">
        <f>IFERROR(VLOOKUP(June[[#This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54" t="str">
        <f>IFERROR(VLOOKUP(June[[#This Row],[Drug Name7]],'Data Options'!$R$1:$S$100,2,FALSE), " ")</f>
        <v xml:space="preserve"> </v>
      </c>
      <c r="AZ196" s="32"/>
      <c r="BA196" s="32"/>
      <c r="BB196" s="53"/>
      <c r="BC196" s="54" t="str">
        <f>IFERROR(VLOOKUP(June[[#This Row],[Drug Name8]],'Data Options'!$R$1:$S$100,2,FALSE), " ")</f>
        <v xml:space="preserve"> </v>
      </c>
      <c r="BD196" s="32"/>
      <c r="BE196" s="32"/>
      <c r="BF196" s="53"/>
      <c r="BG196" s="54" t="str">
        <f>IFERROR(VLOOKUP(June[[#This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54" t="str">
        <f>IFERROR(VLOOKUP(June[[#This Row],[Drug Name]],'Data Options'!$R$1:$S$100,2,FALSE), " ")</f>
        <v xml:space="preserve"> </v>
      </c>
      <c r="R197" s="32"/>
      <c r="S197" s="32"/>
      <c r="T197" s="53"/>
      <c r="U197" s="54" t="str">
        <f>IFERROR(VLOOKUP(June[[#This Row],[Drug Name2]],'Data Options'!$R$1:$S$100,2,FALSE), " ")</f>
        <v xml:space="preserve"> </v>
      </c>
      <c r="V197" s="32"/>
      <c r="W197" s="32"/>
      <c r="X197" s="53"/>
      <c r="Y197" s="54" t="str">
        <f>IFERROR(VLOOKUP(June[[#This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54" t="str">
        <f>IFERROR(VLOOKUP(June[[#This Row],[Drug Name4]],'Data Options'!$R$1:$S$100,2,FALSE), " ")</f>
        <v xml:space="preserve"> </v>
      </c>
      <c r="AI197" s="32"/>
      <c r="AJ197" s="32"/>
      <c r="AK197" s="53"/>
      <c r="AL197" s="54" t="str">
        <f>IFERROR(VLOOKUP(June[[#This Row],[Drug Name5]],'Data Options'!$R$1:$S$100,2,FALSE), " ")</f>
        <v xml:space="preserve"> </v>
      </c>
      <c r="AM197" s="32"/>
      <c r="AN197" s="32"/>
      <c r="AO197" s="53"/>
      <c r="AP197" s="54" t="str">
        <f>IFERROR(VLOOKUP(June[[#This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54" t="str">
        <f>IFERROR(VLOOKUP(June[[#This Row],[Drug Name7]],'Data Options'!$R$1:$S$100,2,FALSE), " ")</f>
        <v xml:space="preserve"> </v>
      </c>
      <c r="AZ197" s="32"/>
      <c r="BA197" s="32"/>
      <c r="BB197" s="53"/>
      <c r="BC197" s="54" t="str">
        <f>IFERROR(VLOOKUP(June[[#This Row],[Drug Name8]],'Data Options'!$R$1:$S$100,2,FALSE), " ")</f>
        <v xml:space="preserve"> </v>
      </c>
      <c r="BD197" s="32"/>
      <c r="BE197" s="32"/>
      <c r="BF197" s="53"/>
      <c r="BG197" s="54" t="str">
        <f>IFERROR(VLOOKUP(June[[#This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54" t="str">
        <f>IFERROR(VLOOKUP(June[[#This Row],[Drug Name]],'Data Options'!$R$1:$S$100,2,FALSE), " ")</f>
        <v xml:space="preserve"> </v>
      </c>
      <c r="R198" s="32"/>
      <c r="S198" s="32"/>
      <c r="T198" s="53"/>
      <c r="U198" s="54" t="str">
        <f>IFERROR(VLOOKUP(June[[#This Row],[Drug Name2]],'Data Options'!$R$1:$S$100,2,FALSE), " ")</f>
        <v xml:space="preserve"> </v>
      </c>
      <c r="V198" s="32"/>
      <c r="W198" s="32"/>
      <c r="X198" s="53"/>
      <c r="Y198" s="54" t="str">
        <f>IFERROR(VLOOKUP(June[[#This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54" t="str">
        <f>IFERROR(VLOOKUP(June[[#This Row],[Drug Name4]],'Data Options'!$R$1:$S$100,2,FALSE), " ")</f>
        <v xml:space="preserve"> </v>
      </c>
      <c r="AI198" s="32"/>
      <c r="AJ198" s="32"/>
      <c r="AK198" s="53"/>
      <c r="AL198" s="54" t="str">
        <f>IFERROR(VLOOKUP(June[[#This Row],[Drug Name5]],'Data Options'!$R$1:$S$100,2,FALSE), " ")</f>
        <v xml:space="preserve"> </v>
      </c>
      <c r="AM198" s="32"/>
      <c r="AN198" s="32"/>
      <c r="AO198" s="53"/>
      <c r="AP198" s="54" t="str">
        <f>IFERROR(VLOOKUP(June[[#This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54" t="str">
        <f>IFERROR(VLOOKUP(June[[#This Row],[Drug Name7]],'Data Options'!$R$1:$S$100,2,FALSE), " ")</f>
        <v xml:space="preserve"> </v>
      </c>
      <c r="AZ198" s="32"/>
      <c r="BA198" s="32"/>
      <c r="BB198" s="53"/>
      <c r="BC198" s="54" t="str">
        <f>IFERROR(VLOOKUP(June[[#This Row],[Drug Name8]],'Data Options'!$R$1:$S$100,2,FALSE), " ")</f>
        <v xml:space="preserve"> </v>
      </c>
      <c r="BD198" s="32"/>
      <c r="BE198" s="32"/>
      <c r="BF198" s="53"/>
      <c r="BG198" s="54" t="str">
        <f>IFERROR(VLOOKUP(June[[#This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54" t="str">
        <f>IFERROR(VLOOKUP(June[[#This Row],[Drug Name]],'Data Options'!$R$1:$S$100,2,FALSE), " ")</f>
        <v xml:space="preserve"> </v>
      </c>
      <c r="R199" s="32"/>
      <c r="S199" s="32"/>
      <c r="T199" s="53"/>
      <c r="U199" s="54" t="str">
        <f>IFERROR(VLOOKUP(June[[#This Row],[Drug Name2]],'Data Options'!$R$1:$S$100,2,FALSE), " ")</f>
        <v xml:space="preserve"> </v>
      </c>
      <c r="V199" s="32"/>
      <c r="W199" s="32"/>
      <c r="X199" s="53"/>
      <c r="Y199" s="54" t="str">
        <f>IFERROR(VLOOKUP(June[[#This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54" t="str">
        <f>IFERROR(VLOOKUP(June[[#This Row],[Drug Name4]],'Data Options'!$R$1:$S$100,2,FALSE), " ")</f>
        <v xml:space="preserve"> </v>
      </c>
      <c r="AI199" s="32"/>
      <c r="AJ199" s="32"/>
      <c r="AK199" s="53"/>
      <c r="AL199" s="54" t="str">
        <f>IFERROR(VLOOKUP(June[[#This Row],[Drug Name5]],'Data Options'!$R$1:$S$100,2,FALSE), " ")</f>
        <v xml:space="preserve"> </v>
      </c>
      <c r="AM199" s="32"/>
      <c r="AN199" s="32"/>
      <c r="AO199" s="53"/>
      <c r="AP199" s="54" t="str">
        <f>IFERROR(VLOOKUP(June[[#This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54" t="str">
        <f>IFERROR(VLOOKUP(June[[#This Row],[Drug Name7]],'Data Options'!$R$1:$S$100,2,FALSE), " ")</f>
        <v xml:space="preserve"> </v>
      </c>
      <c r="AZ199" s="32"/>
      <c r="BA199" s="32"/>
      <c r="BB199" s="53"/>
      <c r="BC199" s="54" t="str">
        <f>IFERROR(VLOOKUP(June[[#This Row],[Drug Name8]],'Data Options'!$R$1:$S$100,2,FALSE), " ")</f>
        <v xml:space="preserve"> </v>
      </c>
      <c r="BD199" s="32"/>
      <c r="BE199" s="32"/>
      <c r="BF199" s="53"/>
      <c r="BG199" s="54" t="str">
        <f>IFERROR(VLOOKUP(June[[#This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54" t="str">
        <f>IFERROR(VLOOKUP(June[[#This Row],[Drug Name]],'Data Options'!$R$1:$S$100,2,FALSE), " ")</f>
        <v xml:space="preserve"> </v>
      </c>
      <c r="R200" s="32"/>
      <c r="S200" s="32"/>
      <c r="T200" s="53"/>
      <c r="U200" s="54" t="str">
        <f>IFERROR(VLOOKUP(June[[#This Row],[Drug Name2]],'Data Options'!$R$1:$S$100,2,FALSE), " ")</f>
        <v xml:space="preserve"> </v>
      </c>
      <c r="V200" s="32"/>
      <c r="W200" s="32"/>
      <c r="X200" s="53"/>
      <c r="Y200" s="54" t="str">
        <f>IFERROR(VLOOKUP(June[[#This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54" t="str">
        <f>IFERROR(VLOOKUP(June[[#This Row],[Drug Name4]],'Data Options'!$R$1:$S$100,2,FALSE), " ")</f>
        <v xml:space="preserve"> </v>
      </c>
      <c r="AI200" s="32"/>
      <c r="AJ200" s="32"/>
      <c r="AK200" s="53"/>
      <c r="AL200" s="54" t="str">
        <f>IFERROR(VLOOKUP(June[[#This Row],[Drug Name5]],'Data Options'!$R$1:$S$100,2,FALSE), " ")</f>
        <v xml:space="preserve"> </v>
      </c>
      <c r="AM200" s="32"/>
      <c r="AN200" s="32"/>
      <c r="AO200" s="53"/>
      <c r="AP200" s="54" t="str">
        <f>IFERROR(VLOOKUP(June[[#This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54" t="str">
        <f>IFERROR(VLOOKUP(June[[#This Row],[Drug Name7]],'Data Options'!$R$1:$S$100,2,FALSE), " ")</f>
        <v xml:space="preserve"> </v>
      </c>
      <c r="AZ200" s="32"/>
      <c r="BA200" s="32"/>
      <c r="BB200" s="53"/>
      <c r="BC200" s="54" t="str">
        <f>IFERROR(VLOOKUP(June[[#This Row],[Drug Name8]],'Data Options'!$R$1:$S$100,2,FALSE), " ")</f>
        <v xml:space="preserve"> </v>
      </c>
      <c r="BD200" s="32"/>
      <c r="BE200" s="32"/>
      <c r="BF200" s="53"/>
      <c r="BG200" s="54" t="str">
        <f>IFERROR(VLOOKUP(June[[#This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54" t="str">
        <f>IFERROR(VLOOKUP(June[[#This Row],[Drug Name]],'Data Options'!$R$1:$S$100,2,FALSE), " ")</f>
        <v xml:space="preserve"> </v>
      </c>
      <c r="R201" s="32"/>
      <c r="S201" s="32"/>
      <c r="T201" s="53"/>
      <c r="U201" s="54" t="str">
        <f>IFERROR(VLOOKUP(June[[#This Row],[Drug Name2]],'Data Options'!$R$1:$S$100,2,FALSE), " ")</f>
        <v xml:space="preserve"> </v>
      </c>
      <c r="V201" s="32"/>
      <c r="W201" s="32"/>
      <c r="X201" s="53"/>
      <c r="Y201" s="54" t="str">
        <f>IFERROR(VLOOKUP(June[[#This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54" t="str">
        <f>IFERROR(VLOOKUP(June[[#This Row],[Drug Name4]],'Data Options'!$R$1:$S$100,2,FALSE), " ")</f>
        <v xml:space="preserve"> </v>
      </c>
      <c r="AI201" s="32"/>
      <c r="AJ201" s="32"/>
      <c r="AK201" s="53"/>
      <c r="AL201" s="54" t="str">
        <f>IFERROR(VLOOKUP(June[[#This Row],[Drug Name5]],'Data Options'!$R$1:$S$100,2,FALSE), " ")</f>
        <v xml:space="preserve"> </v>
      </c>
      <c r="AM201" s="32"/>
      <c r="AN201" s="32"/>
      <c r="AO201" s="53"/>
      <c r="AP201" s="54" t="str">
        <f>IFERROR(VLOOKUP(June[[#This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54" t="str">
        <f>IFERROR(VLOOKUP(June[[#This Row],[Drug Name7]],'Data Options'!$R$1:$S$100,2,FALSE), " ")</f>
        <v xml:space="preserve"> </v>
      </c>
      <c r="AZ201" s="32"/>
      <c r="BA201" s="32"/>
      <c r="BB201" s="53"/>
      <c r="BC201" s="54" t="str">
        <f>IFERROR(VLOOKUP(June[[#This Row],[Drug Name8]],'Data Options'!$R$1:$S$100,2,FALSE), " ")</f>
        <v xml:space="preserve"> </v>
      </c>
      <c r="BD201" s="32"/>
      <c r="BE201" s="32"/>
      <c r="BF201" s="53"/>
      <c r="BG201" s="54" t="str">
        <f>IFERROR(VLOOKUP(June[[#This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Ze2UYVOg9AwOZFBEvr6JNiCSxD+j70tBbX4R7wfgRdNH5fiSl56xKCJzJy54cbiqlbHHnDFhRxSTUehzepGRqQ==" saltValue="qyfv7VWd3GXj3AhiR/ZG8A==" spinCount="100000" sheet="1" objects="1" scenarios="1"/>
  <mergeCells count="13">
    <mergeCell ref="AG2:AJ2"/>
    <mergeCell ref="AX2:BA2"/>
    <mergeCell ref="BB2:BE2"/>
    <mergeCell ref="BF2:BI2"/>
    <mergeCell ref="AB1:AF2"/>
    <mergeCell ref="AS1:AW2"/>
    <mergeCell ref="AO2:AR2"/>
    <mergeCell ref="A1:J2"/>
    <mergeCell ref="K1:Y1"/>
    <mergeCell ref="K2:O2"/>
    <mergeCell ref="P2:S2"/>
    <mergeCell ref="T2:W2"/>
    <mergeCell ref="X2:AA2"/>
  </mergeCells>
  <phoneticPr fontId="5" type="noConversion"/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workbookViewId="0">
      <selection activeCell="C8" sqref="C8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44013</v>
      </c>
      <c r="B4" s="52" t="s">
        <v>294</v>
      </c>
      <c r="C4" s="32">
        <v>20061</v>
      </c>
      <c r="D4" s="32" t="s">
        <v>13</v>
      </c>
      <c r="E4" s="32" t="s">
        <v>17</v>
      </c>
      <c r="F4" s="32" t="s">
        <v>117</v>
      </c>
      <c r="G4" s="32" t="s">
        <v>149</v>
      </c>
      <c r="H4" s="32"/>
      <c r="I4" s="32" t="s">
        <v>22</v>
      </c>
      <c r="J4" s="32">
        <v>1</v>
      </c>
      <c r="K4" s="32" t="s">
        <v>99</v>
      </c>
      <c r="L4" s="32"/>
      <c r="M4" s="32">
        <v>1</v>
      </c>
      <c r="N4" s="31" t="s">
        <v>23</v>
      </c>
      <c r="O4" s="31" t="s">
        <v>23</v>
      </c>
      <c r="P4" s="53" t="s">
        <v>30</v>
      </c>
      <c r="Q4" s="21" t="str">
        <f>IFERROR(VLOOKUP(July[[#This Row],[Drug Name]],'Data Options'!$R$1:$S$100,2,FALSE), " ")</f>
        <v>Cephalosporins</v>
      </c>
      <c r="R4" s="32" t="s">
        <v>122</v>
      </c>
      <c r="S4" s="32" t="s">
        <v>96</v>
      </c>
      <c r="T4" s="53"/>
      <c r="U4" s="21" t="str">
        <f>IFERROR(VLOOKUP(July[[#This Row],[Drug Name2]],'Data Options'!$R$1:$S$100,2,FALSE), " ")</f>
        <v xml:space="preserve"> </v>
      </c>
      <c r="V4" s="32"/>
      <c r="W4" s="32"/>
      <c r="X4" s="53"/>
      <c r="Y4" s="21" t="str">
        <f>IFERROR(VLOOKUP(July[[#This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21" t="str">
        <f>IFERROR(VLOOKUP(July[[#This Row],[Drug Name4]],'Data Options'!$R$1:$S$100,2,FALSE), " ")</f>
        <v xml:space="preserve"> </v>
      </c>
      <c r="AI4" s="32"/>
      <c r="AJ4" s="32"/>
      <c r="AK4" s="53"/>
      <c r="AL4" s="21" t="str">
        <f>IFERROR(VLOOKUP(July[[#This Row],[Drug Name5]],'Data Options'!$R$1:$S$100,2,FALSE), " ")</f>
        <v xml:space="preserve"> </v>
      </c>
      <c r="AM4" s="32"/>
      <c r="AN4" s="32"/>
      <c r="AO4" s="53"/>
      <c r="AP4" s="21" t="str">
        <f>IFERROR(VLOOKUP(July[[#This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21" t="str">
        <f>IFERROR(VLOOKUP(July[[#This Row],[Drug Name7]],'Data Options'!$R$1:$S$100,2,FALSE), " ")</f>
        <v xml:space="preserve"> </v>
      </c>
      <c r="AZ4" s="32"/>
      <c r="BA4" s="32"/>
      <c r="BB4" s="53"/>
      <c r="BC4" s="21" t="str">
        <f>IFERROR(VLOOKUP(July[[#This Row],[Drug Name8]],'Data Options'!$R$1:$S$100,2,FALSE), " ")</f>
        <v xml:space="preserve"> </v>
      </c>
      <c r="BD4" s="32"/>
      <c r="BE4" s="32"/>
      <c r="BF4" s="53"/>
      <c r="BG4" s="21" t="str">
        <f>IFERROR(VLOOKUP(July[[#This Row],[Drug Name9]],'Data Options'!$R$1:$S$100,2,FALSE), " ")</f>
        <v xml:space="preserve"> </v>
      </c>
      <c r="BH4" s="32"/>
      <c r="BI4" s="32"/>
    </row>
    <row r="5" spans="1:61">
      <c r="A5" s="51">
        <v>44014</v>
      </c>
      <c r="B5" s="52" t="s">
        <v>294</v>
      </c>
      <c r="C5" s="32">
        <v>20062</v>
      </c>
      <c r="D5" s="32" t="s">
        <v>13</v>
      </c>
      <c r="E5" s="32" t="s">
        <v>17</v>
      </c>
      <c r="F5" s="32" t="s">
        <v>218</v>
      </c>
      <c r="G5" s="32" t="s">
        <v>18</v>
      </c>
      <c r="H5" s="32"/>
      <c r="I5" s="32" t="s">
        <v>23</v>
      </c>
      <c r="J5" s="32">
        <v>0</v>
      </c>
      <c r="K5" s="32" t="s">
        <v>64</v>
      </c>
      <c r="L5" s="32"/>
      <c r="M5" s="32"/>
      <c r="N5" s="31"/>
      <c r="O5" s="31"/>
      <c r="P5" s="53"/>
      <c r="Q5" s="21" t="str">
        <f>IFERROR(VLOOKUP(July[[#This Row],[Drug Name]],'Data Options'!$R$1:$S$100,2,FALSE), " ")</f>
        <v xml:space="preserve"> </v>
      </c>
      <c r="R5" s="32"/>
      <c r="S5" s="32"/>
      <c r="T5" s="53"/>
      <c r="U5" s="21" t="str">
        <f>IFERROR(VLOOKUP(July[[#This Row],[Drug Name2]],'Data Options'!$R$1:$S$100,2,FALSE), " ")</f>
        <v xml:space="preserve"> </v>
      </c>
      <c r="V5" s="32"/>
      <c r="W5" s="32"/>
      <c r="X5" s="53"/>
      <c r="Y5" s="21" t="str">
        <f>IFERROR(VLOOKUP(July[[#This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21" t="str">
        <f>IFERROR(VLOOKUP(July[[#This Row],[Drug Name4]],'Data Options'!$R$1:$S$100,2,FALSE), " ")</f>
        <v xml:space="preserve"> </v>
      </c>
      <c r="AI5" s="32"/>
      <c r="AJ5" s="32"/>
      <c r="AK5" s="53"/>
      <c r="AL5" s="21" t="str">
        <f>IFERROR(VLOOKUP(July[[#This Row],[Drug Name5]],'Data Options'!$R$1:$S$100,2,FALSE), " ")</f>
        <v xml:space="preserve"> </v>
      </c>
      <c r="AM5" s="32"/>
      <c r="AN5" s="32"/>
      <c r="AO5" s="53"/>
      <c r="AP5" s="21" t="str">
        <f>IFERROR(VLOOKUP(July[[#This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21" t="str">
        <f>IFERROR(VLOOKUP(July[[#This Row],[Drug Name7]],'Data Options'!$R$1:$S$100,2,FALSE), " ")</f>
        <v xml:space="preserve"> </v>
      </c>
      <c r="AZ5" s="32"/>
      <c r="BA5" s="32"/>
      <c r="BB5" s="53"/>
      <c r="BC5" s="21" t="str">
        <f>IFERROR(VLOOKUP(July[[#This Row],[Drug Name8]],'Data Options'!$R$1:$S$100,2,FALSE), " ")</f>
        <v xml:space="preserve"> </v>
      </c>
      <c r="BD5" s="32"/>
      <c r="BE5" s="32"/>
      <c r="BF5" s="53"/>
      <c r="BG5" s="21" t="str">
        <f>IFERROR(VLOOKUP(July[[#This Row],[Drug Name9]],'Data Options'!$R$1:$S$100,2,FALSE), " ")</f>
        <v xml:space="preserve"> </v>
      </c>
      <c r="BH5" s="32"/>
      <c r="BI5" s="32"/>
    </row>
    <row r="6" spans="1:61" ht="62">
      <c r="A6" s="51">
        <v>44015</v>
      </c>
      <c r="B6" s="52" t="s">
        <v>294</v>
      </c>
      <c r="C6" s="32">
        <v>20063</v>
      </c>
      <c r="D6" s="32" t="s">
        <v>12</v>
      </c>
      <c r="E6" s="32" t="s">
        <v>17</v>
      </c>
      <c r="F6" s="32" t="s">
        <v>219</v>
      </c>
      <c r="G6" s="32" t="s">
        <v>20</v>
      </c>
      <c r="H6" s="32"/>
      <c r="I6" s="32" t="s">
        <v>22</v>
      </c>
      <c r="J6" s="32">
        <v>3</v>
      </c>
      <c r="K6" s="32" t="s">
        <v>102</v>
      </c>
      <c r="L6" s="32"/>
      <c r="M6" s="32">
        <v>1</v>
      </c>
      <c r="N6" s="31" t="s">
        <v>22</v>
      </c>
      <c r="O6" s="31" t="s">
        <v>23</v>
      </c>
      <c r="P6" s="53" t="s">
        <v>43</v>
      </c>
      <c r="Q6" s="21" t="str">
        <f>IFERROR(VLOOKUP(July[[#This Row],[Drug Name]],'Data Options'!$R$1:$S$100,2,FALSE), " ")</f>
        <v>Nitroimidazoles</v>
      </c>
      <c r="R6" s="32" t="s">
        <v>88</v>
      </c>
      <c r="S6" s="32" t="s">
        <v>89</v>
      </c>
      <c r="T6" s="53"/>
      <c r="U6" s="21" t="str">
        <f>IFERROR(VLOOKUP(July[[#This Row],[Drug Name2]],'Data Options'!$R$1:$S$100,2,FALSE), " ")</f>
        <v xml:space="preserve"> </v>
      </c>
      <c r="V6" s="32"/>
      <c r="W6" s="32"/>
      <c r="X6" s="53"/>
      <c r="Y6" s="21" t="str">
        <f>IFERROR(VLOOKUP(July[[#This Row],[Drug Name3]],'Data Options'!$R$1:$S$100,2,FALSE), " ")</f>
        <v xml:space="preserve"> </v>
      </c>
      <c r="Z6" s="32"/>
      <c r="AA6" s="32"/>
      <c r="AB6" s="32" t="s">
        <v>86</v>
      </c>
      <c r="AC6" s="32"/>
      <c r="AD6" s="32">
        <v>1</v>
      </c>
      <c r="AE6" s="31" t="s">
        <v>22</v>
      </c>
      <c r="AF6" s="31" t="s">
        <v>22</v>
      </c>
      <c r="AG6" s="53" t="s">
        <v>38</v>
      </c>
      <c r="AH6" s="21" t="str">
        <f>IFERROR(VLOOKUP(July[[#This Row],[Drug Name4]],'Data Options'!$R$1:$S$100,2,FALSE), " ")</f>
        <v>Lincosamides</v>
      </c>
      <c r="AI6" s="32" t="s">
        <v>92</v>
      </c>
      <c r="AJ6" s="32" t="s">
        <v>89</v>
      </c>
      <c r="AK6" s="53"/>
      <c r="AL6" s="21" t="str">
        <f>IFERROR(VLOOKUP(July[[#This Row],[Drug Name5]],'Data Options'!$R$1:$S$100,2,FALSE), " ")</f>
        <v xml:space="preserve"> </v>
      </c>
      <c r="AM6" s="32"/>
      <c r="AN6" s="32"/>
      <c r="AO6" s="53"/>
      <c r="AP6" s="21" t="str">
        <f>IFERROR(VLOOKUP(July[[#This Row],[Drug Name6]],'Data Options'!$R$1:$S$100,2,FALSE), " ")</f>
        <v xml:space="preserve"> </v>
      </c>
      <c r="AQ6" s="32"/>
      <c r="AR6" s="32"/>
      <c r="AS6" s="32" t="s">
        <v>291</v>
      </c>
      <c r="AT6" s="32"/>
      <c r="AU6" s="32">
        <v>1</v>
      </c>
      <c r="AV6" s="31" t="s">
        <v>22</v>
      </c>
      <c r="AW6" s="31" t="s">
        <v>22</v>
      </c>
      <c r="AX6" s="53" t="s">
        <v>313</v>
      </c>
      <c r="AY6" s="21" t="str">
        <f>IFERROR(VLOOKUP(July[[#This Row],[Drug Name7]],'Data Options'!$R$1:$S$100,2,FALSE), " ")</f>
        <v>Otic</v>
      </c>
      <c r="AZ6" s="32" t="s">
        <v>88</v>
      </c>
      <c r="BA6" s="32" t="s">
        <v>98</v>
      </c>
      <c r="BB6" s="53"/>
      <c r="BC6" s="21" t="str">
        <f>IFERROR(VLOOKUP(July[[#This Row],[Drug Name8]],'Data Options'!$R$1:$S$100,2,FALSE), " ")</f>
        <v xml:space="preserve"> </v>
      </c>
      <c r="BD6" s="32"/>
      <c r="BE6" s="32"/>
      <c r="BF6" s="53"/>
      <c r="BG6" s="21" t="str">
        <f>IFERROR(VLOOKUP(July[[#This Row],[Drug Name9]],'Data Options'!$R$1:$S$100,2,FALSE), " ")</f>
        <v xml:space="preserve"> </v>
      </c>
      <c r="BH6" s="32"/>
      <c r="BI6" s="32"/>
    </row>
    <row r="7" spans="1:61">
      <c r="A7" s="51">
        <v>44016</v>
      </c>
      <c r="B7" s="52" t="s">
        <v>294</v>
      </c>
      <c r="C7" s="32">
        <v>20064</v>
      </c>
      <c r="D7" s="32" t="s">
        <v>12</v>
      </c>
      <c r="E7" s="32" t="s">
        <v>15</v>
      </c>
      <c r="F7" s="32" t="s">
        <v>220</v>
      </c>
      <c r="G7" s="32" t="s">
        <v>20</v>
      </c>
      <c r="H7" s="32"/>
      <c r="I7" s="32" t="s">
        <v>247</v>
      </c>
      <c r="J7" s="32">
        <v>0</v>
      </c>
      <c r="K7" s="32" t="s">
        <v>102</v>
      </c>
      <c r="L7" s="32"/>
      <c r="M7" s="32"/>
      <c r="N7" s="31"/>
      <c r="O7" s="31"/>
      <c r="P7" s="53"/>
      <c r="Q7" s="21" t="str">
        <f>IFERROR(VLOOKUP(July[[#This Row],[Drug Name]],'Data Options'!$R$1:$S$100,2,FALSE), " ")</f>
        <v xml:space="preserve"> </v>
      </c>
      <c r="R7" s="32"/>
      <c r="S7" s="32"/>
      <c r="T7" s="53"/>
      <c r="U7" s="21" t="str">
        <f>IFERROR(VLOOKUP(July[[#This Row],[Drug Name2]],'Data Options'!$R$1:$S$100,2,FALSE), " ")</f>
        <v xml:space="preserve"> </v>
      </c>
      <c r="V7" s="32"/>
      <c r="W7" s="32"/>
      <c r="X7" s="53"/>
      <c r="Y7" s="21" t="str">
        <f>IFERROR(VLOOKUP(July[[#This Row],[Drug Name3]],'Data Options'!$R$1:$S$100,2,FALSE), " ")</f>
        <v xml:space="preserve"> </v>
      </c>
      <c r="Z7" s="32"/>
      <c r="AA7" s="32"/>
      <c r="AB7" s="32"/>
      <c r="AC7" s="32"/>
      <c r="AD7" s="32"/>
      <c r="AE7" s="31"/>
      <c r="AF7" s="31"/>
      <c r="AG7" s="53"/>
      <c r="AH7" s="21" t="str">
        <f>IFERROR(VLOOKUP(July[[#This Row],[Drug Name4]],'Data Options'!$R$1:$S$100,2,FALSE), " ")</f>
        <v xml:space="preserve"> </v>
      </c>
      <c r="AI7" s="32"/>
      <c r="AJ7" s="32"/>
      <c r="AK7" s="53"/>
      <c r="AL7" s="21" t="str">
        <f>IFERROR(VLOOKUP(July[[#This Row],[Drug Name5]],'Data Options'!$R$1:$S$100,2,FALSE), " ")</f>
        <v xml:space="preserve"> </v>
      </c>
      <c r="AM7" s="32"/>
      <c r="AN7" s="32"/>
      <c r="AO7" s="53"/>
      <c r="AP7" s="21" t="str">
        <f>IFERROR(VLOOKUP(July[[#This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21" t="str">
        <f>IFERROR(VLOOKUP(July[[#This Row],[Drug Name7]],'Data Options'!$R$1:$S$100,2,FALSE), " ")</f>
        <v xml:space="preserve"> </v>
      </c>
      <c r="AZ7" s="32"/>
      <c r="BA7" s="32"/>
      <c r="BB7" s="53"/>
      <c r="BC7" s="21" t="str">
        <f>IFERROR(VLOOKUP(July[[#This Row],[Drug Name8]],'Data Options'!$R$1:$S$100,2,FALSE), " ")</f>
        <v xml:space="preserve"> </v>
      </c>
      <c r="BD7" s="32"/>
      <c r="BE7" s="32"/>
      <c r="BF7" s="53"/>
      <c r="BG7" s="21" t="str">
        <f>IFERROR(VLOOKUP(July[[#This Row],[Drug Name9]],'Data Options'!$R$1:$S$100,2,FALSE), " ")</f>
        <v xml:space="preserve"> </v>
      </c>
      <c r="BH7" s="32"/>
      <c r="BI7" s="32"/>
    </row>
    <row r="8" spans="1:61">
      <c r="A8" s="51">
        <v>44017</v>
      </c>
      <c r="B8" s="52" t="s">
        <v>294</v>
      </c>
      <c r="C8" s="32">
        <v>20065</v>
      </c>
      <c r="D8" s="32" t="s">
        <v>13</v>
      </c>
      <c r="E8" s="32" t="s">
        <v>16</v>
      </c>
      <c r="F8" s="32" t="s">
        <v>221</v>
      </c>
      <c r="G8" s="32" t="s">
        <v>20</v>
      </c>
      <c r="H8" s="32"/>
      <c r="I8" s="32" t="s">
        <v>22</v>
      </c>
      <c r="J8" s="32">
        <v>1</v>
      </c>
      <c r="K8" s="32" t="s">
        <v>276</v>
      </c>
      <c r="L8" s="32"/>
      <c r="M8" s="32">
        <v>1</v>
      </c>
      <c r="N8" s="31" t="s">
        <v>22</v>
      </c>
      <c r="O8" s="31" t="s">
        <v>23</v>
      </c>
      <c r="P8" s="53" t="s">
        <v>26</v>
      </c>
      <c r="Q8" s="21" t="str">
        <f>IFERROR(VLOOKUP(July[[#This Row],[Drug Name]],'Data Options'!$R$1:$S$100,2,FALSE), " ")</f>
        <v>Penicillins</v>
      </c>
      <c r="R8" s="32" t="s">
        <v>92</v>
      </c>
      <c r="S8" s="32" t="s">
        <v>89</v>
      </c>
      <c r="T8" s="53"/>
      <c r="U8" s="21" t="str">
        <f>IFERROR(VLOOKUP(July[[#This Row],[Drug Name2]],'Data Options'!$R$1:$S$100,2,FALSE), " ")</f>
        <v xml:space="preserve"> </v>
      </c>
      <c r="V8" s="32"/>
      <c r="W8" s="32"/>
      <c r="X8" s="53"/>
      <c r="Y8" s="21" t="str">
        <f>IFERROR(VLOOKUP(July[[#This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21" t="str">
        <f>IFERROR(VLOOKUP(July[[#This Row],[Drug Name4]],'Data Options'!$R$1:$S$100,2,FALSE), " ")</f>
        <v xml:space="preserve"> </v>
      </c>
      <c r="AI8" s="32"/>
      <c r="AJ8" s="32"/>
      <c r="AK8" s="53"/>
      <c r="AL8" s="21" t="str">
        <f>IFERROR(VLOOKUP(July[[#This Row],[Drug Name5]],'Data Options'!$R$1:$S$100,2,FALSE), " ")</f>
        <v xml:space="preserve"> </v>
      </c>
      <c r="AM8" s="32"/>
      <c r="AN8" s="32"/>
      <c r="AO8" s="53"/>
      <c r="AP8" s="21" t="str">
        <f>IFERROR(VLOOKUP(July[[#This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21" t="str">
        <f>IFERROR(VLOOKUP(July[[#This Row],[Drug Name7]],'Data Options'!$R$1:$S$100,2,FALSE), " ")</f>
        <v xml:space="preserve"> </v>
      </c>
      <c r="AZ8" s="32"/>
      <c r="BA8" s="32"/>
      <c r="BB8" s="53"/>
      <c r="BC8" s="21" t="str">
        <f>IFERROR(VLOOKUP(July[[#This Row],[Drug Name8]],'Data Options'!$R$1:$S$100,2,FALSE), " ")</f>
        <v xml:space="preserve"> </v>
      </c>
      <c r="BD8" s="32"/>
      <c r="BE8" s="32"/>
      <c r="BF8" s="53"/>
      <c r="BG8" s="21" t="str">
        <f>IFERROR(VLOOKUP(July[[#This Row],[Drug Name9]],'Data Options'!$R$1:$S$100,2,FALSE), " ")</f>
        <v xml:space="preserve"> </v>
      </c>
      <c r="BH8" s="32"/>
      <c r="BI8" s="32"/>
    </row>
    <row r="9" spans="1:61">
      <c r="A9" s="51">
        <v>44018</v>
      </c>
      <c r="B9" s="52" t="s">
        <v>294</v>
      </c>
      <c r="C9" s="32">
        <v>20066</v>
      </c>
      <c r="D9" s="32" t="s">
        <v>12</v>
      </c>
      <c r="E9" s="32" t="s">
        <v>17</v>
      </c>
      <c r="F9" s="32" t="s">
        <v>123</v>
      </c>
      <c r="G9" s="32" t="s">
        <v>18</v>
      </c>
      <c r="H9" s="32"/>
      <c r="I9" s="32" t="s">
        <v>23</v>
      </c>
      <c r="J9" s="32">
        <v>0</v>
      </c>
      <c r="K9" s="32" t="s">
        <v>100</v>
      </c>
      <c r="L9" s="32"/>
      <c r="M9" s="32"/>
      <c r="N9" s="31"/>
      <c r="O9" s="31"/>
      <c r="P9" s="53"/>
      <c r="Q9" s="21" t="str">
        <f>IFERROR(VLOOKUP(July[[#This Row],[Drug Name]],'Data Options'!$R$1:$S$100,2,FALSE), " ")</f>
        <v xml:space="preserve"> </v>
      </c>
      <c r="R9" s="32"/>
      <c r="S9" s="32"/>
      <c r="T9" s="53"/>
      <c r="U9" s="21" t="str">
        <f>IFERROR(VLOOKUP(July[[#This Row],[Drug Name2]],'Data Options'!$R$1:$S$100,2,FALSE), " ")</f>
        <v xml:space="preserve"> </v>
      </c>
      <c r="V9" s="32"/>
      <c r="W9" s="32"/>
      <c r="X9" s="53"/>
      <c r="Y9" s="21" t="str">
        <f>IFERROR(VLOOKUP(July[[#This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21" t="str">
        <f>IFERROR(VLOOKUP(July[[#This Row],[Drug Name4]],'Data Options'!$R$1:$S$100,2,FALSE), " ")</f>
        <v xml:space="preserve"> </v>
      </c>
      <c r="AI9" s="32"/>
      <c r="AJ9" s="32"/>
      <c r="AK9" s="53"/>
      <c r="AL9" s="21" t="str">
        <f>IFERROR(VLOOKUP(July[[#This Row],[Drug Name5]],'Data Options'!$R$1:$S$100,2,FALSE), " ")</f>
        <v xml:space="preserve"> </v>
      </c>
      <c r="AM9" s="32"/>
      <c r="AN9" s="32"/>
      <c r="AO9" s="53"/>
      <c r="AP9" s="21" t="str">
        <f>IFERROR(VLOOKUP(July[[#This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21" t="str">
        <f>IFERROR(VLOOKUP(July[[#This Row],[Drug Name7]],'Data Options'!$R$1:$S$100,2,FALSE), " ")</f>
        <v xml:space="preserve"> </v>
      </c>
      <c r="AZ9" s="32"/>
      <c r="BA9" s="32"/>
      <c r="BB9" s="53"/>
      <c r="BC9" s="21" t="str">
        <f>IFERROR(VLOOKUP(July[[#This Row],[Drug Name8]],'Data Options'!$R$1:$S$100,2,FALSE), " ")</f>
        <v xml:space="preserve"> </v>
      </c>
      <c r="BD9" s="32"/>
      <c r="BE9" s="32"/>
      <c r="BF9" s="53"/>
      <c r="BG9" s="21" t="str">
        <f>IFERROR(VLOOKUP(July[[#This Row],[Drug Name9]],'Data Options'!$R$1:$S$100,2,FALSE), " ")</f>
        <v xml:space="preserve"> </v>
      </c>
      <c r="BH9" s="32"/>
      <c r="BI9" s="32"/>
    </row>
    <row r="10" spans="1:61">
      <c r="A10" s="51">
        <v>44019</v>
      </c>
      <c r="B10" s="52" t="s">
        <v>294</v>
      </c>
      <c r="C10" s="32">
        <v>20067</v>
      </c>
      <c r="D10" s="32" t="s">
        <v>13</v>
      </c>
      <c r="E10" s="32" t="s">
        <v>15</v>
      </c>
      <c r="F10" s="32" t="s">
        <v>221</v>
      </c>
      <c r="G10" s="32" t="s">
        <v>18</v>
      </c>
      <c r="H10" s="32"/>
      <c r="I10" s="32" t="s">
        <v>23</v>
      </c>
      <c r="J10" s="32">
        <v>0</v>
      </c>
      <c r="K10" s="32" t="s">
        <v>21</v>
      </c>
      <c r="L10" s="32"/>
      <c r="M10" s="32"/>
      <c r="N10" s="31"/>
      <c r="O10" s="31"/>
      <c r="P10" s="53"/>
      <c r="Q10" s="21" t="str">
        <f>IFERROR(VLOOKUP(July[[#This Row],[Drug Name]],'Data Options'!$R$1:$S$100,2,FALSE), " ")</f>
        <v xml:space="preserve"> </v>
      </c>
      <c r="R10" s="32"/>
      <c r="S10" s="32"/>
      <c r="T10" s="53"/>
      <c r="U10" s="21" t="str">
        <f>IFERROR(VLOOKUP(July[[#This Row],[Drug Name2]],'Data Options'!$R$1:$S$100,2,FALSE), " ")</f>
        <v xml:space="preserve"> </v>
      </c>
      <c r="V10" s="32"/>
      <c r="W10" s="32"/>
      <c r="X10" s="53"/>
      <c r="Y10" s="21" t="str">
        <f>IFERROR(VLOOKUP(July[[#This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21" t="str">
        <f>IFERROR(VLOOKUP(July[[#This Row],[Drug Name4]],'Data Options'!$R$1:$S$100,2,FALSE), " ")</f>
        <v xml:space="preserve"> </v>
      </c>
      <c r="AI10" s="32"/>
      <c r="AJ10" s="32"/>
      <c r="AK10" s="53"/>
      <c r="AL10" s="21" t="str">
        <f>IFERROR(VLOOKUP(July[[#This Row],[Drug Name5]],'Data Options'!$R$1:$S$100,2,FALSE), " ")</f>
        <v xml:space="preserve"> </v>
      </c>
      <c r="AM10" s="32"/>
      <c r="AN10" s="32"/>
      <c r="AO10" s="53"/>
      <c r="AP10" s="21" t="str">
        <f>IFERROR(VLOOKUP(July[[#This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21" t="str">
        <f>IFERROR(VLOOKUP(July[[#This Row],[Drug Name7]],'Data Options'!$R$1:$S$100,2,FALSE), " ")</f>
        <v xml:space="preserve"> </v>
      </c>
      <c r="AZ10" s="32"/>
      <c r="BA10" s="32"/>
      <c r="BB10" s="53"/>
      <c r="BC10" s="21" t="str">
        <f>IFERROR(VLOOKUP(July[[#This Row],[Drug Name8]],'Data Options'!$R$1:$S$100,2,FALSE), " ")</f>
        <v xml:space="preserve"> </v>
      </c>
      <c r="BD10" s="32"/>
      <c r="BE10" s="32"/>
      <c r="BF10" s="53"/>
      <c r="BG10" s="21" t="str">
        <f>IFERROR(VLOOKUP(July[[#This Row],[Drug Name9]],'Data Options'!$R$1:$S$100,2,FALSE), " ")</f>
        <v xml:space="preserve"> </v>
      </c>
      <c r="BH10" s="32"/>
      <c r="BI10" s="32"/>
    </row>
    <row r="11" spans="1:61">
      <c r="A11" s="51">
        <v>44020</v>
      </c>
      <c r="B11" s="52" t="s">
        <v>294</v>
      </c>
      <c r="C11" s="32">
        <v>20068</v>
      </c>
      <c r="D11" s="32" t="s">
        <v>12</v>
      </c>
      <c r="E11" s="32" t="s">
        <v>15</v>
      </c>
      <c r="F11" s="32" t="s">
        <v>220</v>
      </c>
      <c r="G11" s="32" t="s">
        <v>19</v>
      </c>
      <c r="H11" s="32"/>
      <c r="I11" s="32" t="s">
        <v>22</v>
      </c>
      <c r="J11" s="32">
        <v>1</v>
      </c>
      <c r="K11" s="32" t="s">
        <v>86</v>
      </c>
      <c r="L11" s="32"/>
      <c r="M11" s="32">
        <v>1</v>
      </c>
      <c r="N11" s="31" t="s">
        <v>22</v>
      </c>
      <c r="O11" s="31" t="s">
        <v>22</v>
      </c>
      <c r="P11" s="53" t="s">
        <v>35</v>
      </c>
      <c r="Q11" s="21" t="str">
        <f>IFERROR(VLOOKUP(July[[#This Row],[Drug Name]],'Data Options'!$R$1:$S$100,2,FALSE), " ")</f>
        <v>Cephalosporins</v>
      </c>
      <c r="R11" s="32"/>
      <c r="S11" s="32" t="s">
        <v>89</v>
      </c>
      <c r="T11" s="53"/>
      <c r="U11" s="21" t="str">
        <f>IFERROR(VLOOKUP(July[[#This Row],[Drug Name2]],'Data Options'!$R$1:$S$100,2,FALSE), " ")</f>
        <v xml:space="preserve"> </v>
      </c>
      <c r="V11" s="32"/>
      <c r="W11" s="32"/>
      <c r="X11" s="53"/>
      <c r="Y11" s="21" t="str">
        <f>IFERROR(VLOOKUP(July[[#This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21" t="str">
        <f>IFERROR(VLOOKUP(July[[#This Row],[Drug Name4]],'Data Options'!$R$1:$S$100,2,FALSE), " ")</f>
        <v xml:space="preserve"> </v>
      </c>
      <c r="AI11" s="32"/>
      <c r="AJ11" s="32"/>
      <c r="AK11" s="53"/>
      <c r="AL11" s="21" t="str">
        <f>IFERROR(VLOOKUP(July[[#This Row],[Drug Name5]],'Data Options'!$R$1:$S$100,2,FALSE), " ")</f>
        <v xml:space="preserve"> </v>
      </c>
      <c r="AM11" s="32"/>
      <c r="AN11" s="32"/>
      <c r="AO11" s="53"/>
      <c r="AP11" s="21" t="str">
        <f>IFERROR(VLOOKUP(July[[#This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21" t="str">
        <f>IFERROR(VLOOKUP(July[[#This Row],[Drug Name7]],'Data Options'!$R$1:$S$100,2,FALSE), " ")</f>
        <v xml:space="preserve"> </v>
      </c>
      <c r="AZ11" s="32"/>
      <c r="BA11" s="32"/>
      <c r="BB11" s="53"/>
      <c r="BC11" s="21" t="str">
        <f>IFERROR(VLOOKUP(July[[#This Row],[Drug Name8]],'Data Options'!$R$1:$S$100,2,FALSE), " ")</f>
        <v xml:space="preserve"> </v>
      </c>
      <c r="BD11" s="32"/>
      <c r="BE11" s="32"/>
      <c r="BF11" s="53"/>
      <c r="BG11" s="21" t="str">
        <f>IFERROR(VLOOKUP(July[[#This Row],[Drug Name9]],'Data Options'!$R$1:$S$100,2,FALSE), " ")</f>
        <v xml:space="preserve"> </v>
      </c>
      <c r="BH11" s="32"/>
      <c r="BI11" s="32"/>
    </row>
    <row r="12" spans="1:61">
      <c r="A12" s="51">
        <v>44021</v>
      </c>
      <c r="B12" s="52" t="s">
        <v>294</v>
      </c>
      <c r="C12" s="32">
        <v>20069</v>
      </c>
      <c r="D12" s="32" t="s">
        <v>13</v>
      </c>
      <c r="E12" s="32" t="s">
        <v>15</v>
      </c>
      <c r="F12" s="32" t="s">
        <v>219</v>
      </c>
      <c r="G12" s="32" t="s">
        <v>149</v>
      </c>
      <c r="H12" s="32"/>
      <c r="I12" s="32" t="s">
        <v>23</v>
      </c>
      <c r="J12" s="32">
        <v>0</v>
      </c>
      <c r="K12" s="32" t="s">
        <v>99</v>
      </c>
      <c r="L12" s="32"/>
      <c r="M12" s="32"/>
      <c r="N12" s="31"/>
      <c r="O12" s="31"/>
      <c r="P12" s="53"/>
      <c r="Q12" s="21" t="str">
        <f>IFERROR(VLOOKUP(July[[#This Row],[Drug Name]],'Data Options'!$R$1:$S$100,2,FALSE), " ")</f>
        <v xml:space="preserve"> </v>
      </c>
      <c r="R12" s="32"/>
      <c r="S12" s="32"/>
      <c r="T12" s="53"/>
      <c r="U12" s="21" t="str">
        <f>IFERROR(VLOOKUP(July[[#This Row],[Drug Name2]],'Data Options'!$R$1:$S$100,2,FALSE), " ")</f>
        <v xml:space="preserve"> </v>
      </c>
      <c r="V12" s="32"/>
      <c r="W12" s="32"/>
      <c r="X12" s="53"/>
      <c r="Y12" s="21" t="str">
        <f>IFERROR(VLOOKUP(July[[#This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21" t="str">
        <f>IFERROR(VLOOKUP(July[[#This Row],[Drug Name4]],'Data Options'!$R$1:$S$100,2,FALSE), " ")</f>
        <v xml:space="preserve"> </v>
      </c>
      <c r="AI12" s="32"/>
      <c r="AJ12" s="32"/>
      <c r="AK12" s="53"/>
      <c r="AL12" s="21" t="str">
        <f>IFERROR(VLOOKUP(July[[#This Row],[Drug Name5]],'Data Options'!$R$1:$S$100,2,FALSE), " ")</f>
        <v xml:space="preserve"> </v>
      </c>
      <c r="AM12" s="32"/>
      <c r="AN12" s="32"/>
      <c r="AO12" s="53"/>
      <c r="AP12" s="21" t="str">
        <f>IFERROR(VLOOKUP(July[[#This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21" t="str">
        <f>IFERROR(VLOOKUP(July[[#This Row],[Drug Name7]],'Data Options'!$R$1:$S$100,2,FALSE), " ")</f>
        <v xml:space="preserve"> </v>
      </c>
      <c r="AZ12" s="32"/>
      <c r="BA12" s="32"/>
      <c r="BB12" s="53"/>
      <c r="BC12" s="21" t="str">
        <f>IFERROR(VLOOKUP(July[[#This Row],[Drug Name8]],'Data Options'!$R$1:$S$100,2,FALSE), " ")</f>
        <v xml:space="preserve"> </v>
      </c>
      <c r="BD12" s="32"/>
      <c r="BE12" s="32"/>
      <c r="BF12" s="53"/>
      <c r="BG12" s="21" t="str">
        <f>IFERROR(VLOOKUP(July[[#This Row],[Drug Name9]],'Data Options'!$R$1:$S$100,2,FALSE), " ")</f>
        <v xml:space="preserve"> </v>
      </c>
      <c r="BH12" s="32"/>
      <c r="BI12" s="32"/>
    </row>
    <row r="13" spans="1:61">
      <c r="A13" s="51">
        <v>44022</v>
      </c>
      <c r="B13" s="52" t="s">
        <v>294</v>
      </c>
      <c r="C13" s="32">
        <v>20070</v>
      </c>
      <c r="D13" s="32" t="s">
        <v>13</v>
      </c>
      <c r="E13" s="32" t="s">
        <v>17</v>
      </c>
      <c r="F13" s="32" t="s">
        <v>117</v>
      </c>
      <c r="G13" s="32" t="s">
        <v>20</v>
      </c>
      <c r="H13" s="32"/>
      <c r="I13" s="32" t="s">
        <v>23</v>
      </c>
      <c r="J13" s="32">
        <v>0</v>
      </c>
      <c r="K13" s="32" t="s">
        <v>223</v>
      </c>
      <c r="L13" s="32"/>
      <c r="M13" s="32"/>
      <c r="N13" s="31"/>
      <c r="O13" s="31"/>
      <c r="P13" s="53"/>
      <c r="Q13" s="21" t="str">
        <f>IFERROR(VLOOKUP(July[[#This Row],[Drug Name]],'Data Options'!$R$1:$S$100,2,FALSE), " ")</f>
        <v xml:space="preserve"> </v>
      </c>
      <c r="R13" s="32"/>
      <c r="S13" s="32"/>
      <c r="T13" s="53"/>
      <c r="U13" s="21" t="str">
        <f>IFERROR(VLOOKUP(July[[#This Row],[Drug Name2]],'Data Options'!$R$1:$S$100,2,FALSE), " ")</f>
        <v xml:space="preserve"> </v>
      </c>
      <c r="V13" s="32"/>
      <c r="W13" s="32"/>
      <c r="X13" s="53"/>
      <c r="Y13" s="21" t="str">
        <f>IFERROR(VLOOKUP(July[[#This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21" t="str">
        <f>IFERROR(VLOOKUP(July[[#This Row],[Drug Name4]],'Data Options'!$R$1:$S$100,2,FALSE), " ")</f>
        <v xml:space="preserve"> </v>
      </c>
      <c r="AI13" s="32"/>
      <c r="AJ13" s="32"/>
      <c r="AK13" s="53"/>
      <c r="AL13" s="21" t="str">
        <f>IFERROR(VLOOKUP(July[[#This Row],[Drug Name5]],'Data Options'!$R$1:$S$100,2,FALSE), " ")</f>
        <v xml:space="preserve"> </v>
      </c>
      <c r="AM13" s="32"/>
      <c r="AN13" s="32"/>
      <c r="AO13" s="53"/>
      <c r="AP13" s="21" t="str">
        <f>IFERROR(VLOOKUP(July[[#This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21" t="str">
        <f>IFERROR(VLOOKUP(July[[#This Row],[Drug Name7]],'Data Options'!$R$1:$S$100,2,FALSE), " ")</f>
        <v xml:space="preserve"> </v>
      </c>
      <c r="AZ13" s="32"/>
      <c r="BA13" s="32"/>
      <c r="BB13" s="53"/>
      <c r="BC13" s="21" t="str">
        <f>IFERROR(VLOOKUP(July[[#This Row],[Drug Name8]],'Data Options'!$R$1:$S$100,2,FALSE), " ")</f>
        <v xml:space="preserve"> </v>
      </c>
      <c r="BD13" s="32"/>
      <c r="BE13" s="32"/>
      <c r="BF13" s="53"/>
      <c r="BG13" s="21" t="str">
        <f>IFERROR(VLOOKUP(July[[#This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21" t="str">
        <f>IFERROR(VLOOKUP(July[[#This Row],[Drug Name]],'Data Options'!$R$1:$S$100,2,FALSE), " ")</f>
        <v xml:space="preserve"> </v>
      </c>
      <c r="R14" s="32"/>
      <c r="S14" s="32"/>
      <c r="T14" s="53"/>
      <c r="U14" s="21" t="str">
        <f>IFERROR(VLOOKUP(July[[#This Row],[Drug Name2]],'Data Options'!$R$1:$S$100,2,FALSE), " ")</f>
        <v xml:space="preserve"> </v>
      </c>
      <c r="V14" s="32"/>
      <c r="W14" s="32"/>
      <c r="X14" s="53"/>
      <c r="Y14" s="21" t="str">
        <f>IFERROR(VLOOKUP(July[[#This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21" t="str">
        <f>IFERROR(VLOOKUP(July[[#This Row],[Drug Name4]],'Data Options'!$R$1:$S$100,2,FALSE), " ")</f>
        <v xml:space="preserve"> </v>
      </c>
      <c r="AI14" s="32"/>
      <c r="AJ14" s="32"/>
      <c r="AK14" s="53"/>
      <c r="AL14" s="21" t="str">
        <f>IFERROR(VLOOKUP(July[[#This Row],[Drug Name5]],'Data Options'!$R$1:$S$100,2,FALSE), " ")</f>
        <v xml:space="preserve"> </v>
      </c>
      <c r="AM14" s="32"/>
      <c r="AN14" s="32"/>
      <c r="AO14" s="53"/>
      <c r="AP14" s="21" t="str">
        <f>IFERROR(VLOOKUP(July[[#This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21" t="str">
        <f>IFERROR(VLOOKUP(July[[#This Row],[Drug Name7]],'Data Options'!$R$1:$S$100,2,FALSE), " ")</f>
        <v xml:space="preserve"> </v>
      </c>
      <c r="AZ14" s="32"/>
      <c r="BA14" s="32"/>
      <c r="BB14" s="53"/>
      <c r="BC14" s="21" t="str">
        <f>IFERROR(VLOOKUP(July[[#This Row],[Drug Name8]],'Data Options'!$R$1:$S$100,2,FALSE), " ")</f>
        <v xml:space="preserve"> </v>
      </c>
      <c r="BD14" s="32"/>
      <c r="BE14" s="32"/>
      <c r="BF14" s="53"/>
      <c r="BG14" s="21" t="str">
        <f>IFERROR(VLOOKUP(July[[#This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21" t="str">
        <f>IFERROR(VLOOKUP(July[[#This Row],[Drug Name]],'Data Options'!$R$1:$S$100,2,FALSE), " ")</f>
        <v xml:space="preserve"> </v>
      </c>
      <c r="R15" s="32"/>
      <c r="S15" s="32"/>
      <c r="T15" s="53"/>
      <c r="U15" s="21" t="str">
        <f>IFERROR(VLOOKUP(July[[#This Row],[Drug Name2]],'Data Options'!$R$1:$S$100,2,FALSE), " ")</f>
        <v xml:space="preserve"> </v>
      </c>
      <c r="V15" s="32"/>
      <c r="W15" s="32"/>
      <c r="X15" s="53"/>
      <c r="Y15" s="21" t="str">
        <f>IFERROR(VLOOKUP(July[[#This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21" t="str">
        <f>IFERROR(VLOOKUP(July[[#This Row],[Drug Name4]],'Data Options'!$R$1:$S$100,2,FALSE), " ")</f>
        <v xml:space="preserve"> </v>
      </c>
      <c r="AI15" s="32"/>
      <c r="AJ15" s="32"/>
      <c r="AK15" s="53"/>
      <c r="AL15" s="21" t="str">
        <f>IFERROR(VLOOKUP(July[[#This Row],[Drug Name5]],'Data Options'!$R$1:$S$100,2,FALSE), " ")</f>
        <v xml:space="preserve"> </v>
      </c>
      <c r="AM15" s="32"/>
      <c r="AN15" s="32"/>
      <c r="AO15" s="53"/>
      <c r="AP15" s="21" t="str">
        <f>IFERROR(VLOOKUP(July[[#This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21" t="str">
        <f>IFERROR(VLOOKUP(July[[#This Row],[Drug Name7]],'Data Options'!$R$1:$S$100,2,FALSE), " ")</f>
        <v xml:space="preserve"> </v>
      </c>
      <c r="AZ15" s="32"/>
      <c r="BA15" s="32"/>
      <c r="BB15" s="53"/>
      <c r="BC15" s="21" t="str">
        <f>IFERROR(VLOOKUP(July[[#This Row],[Drug Name8]],'Data Options'!$R$1:$S$100,2,FALSE), " ")</f>
        <v xml:space="preserve"> </v>
      </c>
      <c r="BD15" s="32"/>
      <c r="BE15" s="32"/>
      <c r="BF15" s="53"/>
      <c r="BG15" s="21" t="str">
        <f>IFERROR(VLOOKUP(July[[#This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21" t="str">
        <f>IFERROR(VLOOKUP(July[[#This Row],[Drug Name]],'Data Options'!$R$1:$S$100,2,FALSE), " ")</f>
        <v xml:space="preserve"> </v>
      </c>
      <c r="R16" s="32"/>
      <c r="S16" s="32"/>
      <c r="T16" s="53"/>
      <c r="U16" s="21" t="str">
        <f>IFERROR(VLOOKUP(July[[#This Row],[Drug Name2]],'Data Options'!$R$1:$S$100,2,FALSE), " ")</f>
        <v xml:space="preserve"> </v>
      </c>
      <c r="V16" s="32"/>
      <c r="W16" s="32"/>
      <c r="X16" s="53"/>
      <c r="Y16" s="21" t="str">
        <f>IFERROR(VLOOKUP(July[[#This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21" t="str">
        <f>IFERROR(VLOOKUP(July[[#This Row],[Drug Name4]],'Data Options'!$R$1:$S$100,2,FALSE), " ")</f>
        <v xml:space="preserve"> </v>
      </c>
      <c r="AI16" s="32"/>
      <c r="AJ16" s="32"/>
      <c r="AK16" s="53"/>
      <c r="AL16" s="21" t="str">
        <f>IFERROR(VLOOKUP(July[[#This Row],[Drug Name5]],'Data Options'!$R$1:$S$100,2,FALSE), " ")</f>
        <v xml:space="preserve"> </v>
      </c>
      <c r="AM16" s="32"/>
      <c r="AN16" s="32"/>
      <c r="AO16" s="53"/>
      <c r="AP16" s="21" t="str">
        <f>IFERROR(VLOOKUP(July[[#This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21" t="str">
        <f>IFERROR(VLOOKUP(July[[#This Row],[Drug Name7]],'Data Options'!$R$1:$S$100,2,FALSE), " ")</f>
        <v xml:space="preserve"> </v>
      </c>
      <c r="AZ16" s="32"/>
      <c r="BA16" s="32"/>
      <c r="BB16" s="53"/>
      <c r="BC16" s="21" t="str">
        <f>IFERROR(VLOOKUP(July[[#This Row],[Drug Name8]],'Data Options'!$R$1:$S$100,2,FALSE), " ")</f>
        <v xml:space="preserve"> </v>
      </c>
      <c r="BD16" s="32"/>
      <c r="BE16" s="32"/>
      <c r="BF16" s="53"/>
      <c r="BG16" s="21" t="str">
        <f>IFERROR(VLOOKUP(July[[#This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21" t="str">
        <f>IFERROR(VLOOKUP(July[[#This Row],[Drug Name]],'Data Options'!$R$1:$S$100,2,FALSE), " ")</f>
        <v xml:space="preserve"> </v>
      </c>
      <c r="R17" s="32"/>
      <c r="S17" s="32"/>
      <c r="T17" s="53"/>
      <c r="U17" s="21" t="str">
        <f>IFERROR(VLOOKUP(July[[#This Row],[Drug Name2]],'Data Options'!$R$1:$S$100,2,FALSE), " ")</f>
        <v xml:space="preserve"> </v>
      </c>
      <c r="V17" s="32"/>
      <c r="W17" s="32"/>
      <c r="X17" s="53"/>
      <c r="Y17" s="21" t="str">
        <f>IFERROR(VLOOKUP(July[[#This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21" t="str">
        <f>IFERROR(VLOOKUP(July[[#This Row],[Drug Name4]],'Data Options'!$R$1:$S$100,2,FALSE), " ")</f>
        <v xml:space="preserve"> </v>
      </c>
      <c r="AI17" s="32"/>
      <c r="AJ17" s="32"/>
      <c r="AK17" s="53"/>
      <c r="AL17" s="21" t="str">
        <f>IFERROR(VLOOKUP(July[[#This Row],[Drug Name5]],'Data Options'!$R$1:$S$100,2,FALSE), " ")</f>
        <v xml:space="preserve"> </v>
      </c>
      <c r="AM17" s="32"/>
      <c r="AN17" s="32"/>
      <c r="AO17" s="53"/>
      <c r="AP17" s="21" t="str">
        <f>IFERROR(VLOOKUP(July[[#This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21" t="str">
        <f>IFERROR(VLOOKUP(July[[#This Row],[Drug Name7]],'Data Options'!$R$1:$S$100,2,FALSE), " ")</f>
        <v xml:space="preserve"> </v>
      </c>
      <c r="AZ17" s="32"/>
      <c r="BA17" s="32"/>
      <c r="BB17" s="53"/>
      <c r="BC17" s="21" t="str">
        <f>IFERROR(VLOOKUP(July[[#This Row],[Drug Name8]],'Data Options'!$R$1:$S$100,2,FALSE), " ")</f>
        <v xml:space="preserve"> </v>
      </c>
      <c r="BD17" s="32"/>
      <c r="BE17" s="32"/>
      <c r="BF17" s="53"/>
      <c r="BG17" s="21" t="str">
        <f>IFERROR(VLOOKUP(July[[#This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21" t="str">
        <f>IFERROR(VLOOKUP(July[[#This Row],[Drug Name]],'Data Options'!$R$1:$S$100,2,FALSE), " ")</f>
        <v xml:space="preserve"> </v>
      </c>
      <c r="R18" s="32"/>
      <c r="S18" s="32"/>
      <c r="T18" s="53"/>
      <c r="U18" s="21" t="str">
        <f>IFERROR(VLOOKUP(July[[#This Row],[Drug Name2]],'Data Options'!$R$1:$S$100,2,FALSE), " ")</f>
        <v xml:space="preserve"> </v>
      </c>
      <c r="V18" s="32"/>
      <c r="W18" s="32"/>
      <c r="X18" s="53"/>
      <c r="Y18" s="21" t="str">
        <f>IFERROR(VLOOKUP(July[[#This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21" t="str">
        <f>IFERROR(VLOOKUP(July[[#This Row],[Drug Name4]],'Data Options'!$R$1:$S$100,2,FALSE), " ")</f>
        <v xml:space="preserve"> </v>
      </c>
      <c r="AI18" s="32"/>
      <c r="AJ18" s="32"/>
      <c r="AK18" s="53"/>
      <c r="AL18" s="21" t="str">
        <f>IFERROR(VLOOKUP(July[[#This Row],[Drug Name5]],'Data Options'!$R$1:$S$100,2,FALSE), " ")</f>
        <v xml:space="preserve"> </v>
      </c>
      <c r="AM18" s="32"/>
      <c r="AN18" s="32"/>
      <c r="AO18" s="53"/>
      <c r="AP18" s="21" t="str">
        <f>IFERROR(VLOOKUP(July[[#This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21" t="str">
        <f>IFERROR(VLOOKUP(July[[#This Row],[Drug Name7]],'Data Options'!$R$1:$S$100,2,FALSE), " ")</f>
        <v xml:space="preserve"> </v>
      </c>
      <c r="AZ18" s="32"/>
      <c r="BA18" s="32"/>
      <c r="BB18" s="53"/>
      <c r="BC18" s="21" t="str">
        <f>IFERROR(VLOOKUP(July[[#This Row],[Drug Name8]],'Data Options'!$R$1:$S$100,2,FALSE), " ")</f>
        <v xml:space="preserve"> </v>
      </c>
      <c r="BD18" s="32"/>
      <c r="BE18" s="32"/>
      <c r="BF18" s="53"/>
      <c r="BG18" s="21" t="str">
        <f>IFERROR(VLOOKUP(July[[#This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21" t="str">
        <f>IFERROR(VLOOKUP(July[[#This Row],[Drug Name]],'Data Options'!$R$1:$S$100,2,FALSE), " ")</f>
        <v xml:space="preserve"> </v>
      </c>
      <c r="R19" s="32"/>
      <c r="S19" s="32"/>
      <c r="T19" s="53"/>
      <c r="U19" s="21" t="str">
        <f>IFERROR(VLOOKUP(July[[#This Row],[Drug Name2]],'Data Options'!$R$1:$S$100,2,FALSE), " ")</f>
        <v xml:space="preserve"> </v>
      </c>
      <c r="V19" s="32"/>
      <c r="W19" s="32"/>
      <c r="X19" s="53"/>
      <c r="Y19" s="21" t="str">
        <f>IFERROR(VLOOKUP(July[[#This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21" t="str">
        <f>IFERROR(VLOOKUP(July[[#This Row],[Drug Name4]],'Data Options'!$R$1:$S$100,2,FALSE), " ")</f>
        <v xml:space="preserve"> </v>
      </c>
      <c r="AI19" s="32"/>
      <c r="AJ19" s="32"/>
      <c r="AK19" s="53"/>
      <c r="AL19" s="21" t="str">
        <f>IFERROR(VLOOKUP(July[[#This Row],[Drug Name5]],'Data Options'!$R$1:$S$100,2,FALSE), " ")</f>
        <v xml:space="preserve"> </v>
      </c>
      <c r="AM19" s="32"/>
      <c r="AN19" s="32"/>
      <c r="AO19" s="53"/>
      <c r="AP19" s="21" t="str">
        <f>IFERROR(VLOOKUP(July[[#This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21" t="str">
        <f>IFERROR(VLOOKUP(July[[#This Row],[Drug Name7]],'Data Options'!$R$1:$S$100,2,FALSE), " ")</f>
        <v xml:space="preserve"> </v>
      </c>
      <c r="AZ19" s="32"/>
      <c r="BA19" s="32"/>
      <c r="BB19" s="53"/>
      <c r="BC19" s="21" t="str">
        <f>IFERROR(VLOOKUP(July[[#This Row],[Drug Name8]],'Data Options'!$R$1:$S$100,2,FALSE), " ")</f>
        <v xml:space="preserve"> </v>
      </c>
      <c r="BD19" s="32"/>
      <c r="BE19" s="32"/>
      <c r="BF19" s="53"/>
      <c r="BG19" s="21" t="str">
        <f>IFERROR(VLOOKUP(July[[#This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21" t="str">
        <f>IFERROR(VLOOKUP(July[[#This Row],[Drug Name]],'Data Options'!$R$1:$S$100,2,FALSE), " ")</f>
        <v xml:space="preserve"> </v>
      </c>
      <c r="R20" s="32"/>
      <c r="S20" s="32"/>
      <c r="T20" s="53"/>
      <c r="U20" s="21" t="str">
        <f>IFERROR(VLOOKUP(July[[#This Row],[Drug Name2]],'Data Options'!$R$1:$S$100,2,FALSE), " ")</f>
        <v xml:space="preserve"> </v>
      </c>
      <c r="V20" s="32"/>
      <c r="W20" s="32"/>
      <c r="X20" s="53"/>
      <c r="Y20" s="21" t="str">
        <f>IFERROR(VLOOKUP(July[[#This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21" t="str">
        <f>IFERROR(VLOOKUP(July[[#This Row],[Drug Name4]],'Data Options'!$R$1:$S$100,2,FALSE), " ")</f>
        <v xml:space="preserve"> </v>
      </c>
      <c r="AI20" s="32"/>
      <c r="AJ20" s="32"/>
      <c r="AK20" s="53"/>
      <c r="AL20" s="21" t="str">
        <f>IFERROR(VLOOKUP(July[[#This Row],[Drug Name5]],'Data Options'!$R$1:$S$100,2,FALSE), " ")</f>
        <v xml:space="preserve"> </v>
      </c>
      <c r="AM20" s="32"/>
      <c r="AN20" s="32"/>
      <c r="AO20" s="53"/>
      <c r="AP20" s="21" t="str">
        <f>IFERROR(VLOOKUP(July[[#This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21" t="str">
        <f>IFERROR(VLOOKUP(July[[#This Row],[Drug Name7]],'Data Options'!$R$1:$S$100,2,FALSE), " ")</f>
        <v xml:space="preserve"> </v>
      </c>
      <c r="AZ20" s="32"/>
      <c r="BA20" s="32"/>
      <c r="BB20" s="53"/>
      <c r="BC20" s="21" t="str">
        <f>IFERROR(VLOOKUP(July[[#This Row],[Drug Name8]],'Data Options'!$R$1:$S$100,2,FALSE), " ")</f>
        <v xml:space="preserve"> </v>
      </c>
      <c r="BD20" s="32"/>
      <c r="BE20" s="32"/>
      <c r="BF20" s="53"/>
      <c r="BG20" s="21" t="str">
        <f>IFERROR(VLOOKUP(July[[#This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21" t="str">
        <f>IFERROR(VLOOKUP(July[[#This Row],[Drug Name]],'Data Options'!$R$1:$S$100,2,FALSE), " ")</f>
        <v xml:space="preserve"> </v>
      </c>
      <c r="R21" s="32"/>
      <c r="S21" s="32"/>
      <c r="T21" s="53"/>
      <c r="U21" s="21" t="str">
        <f>IFERROR(VLOOKUP(July[[#This Row],[Drug Name2]],'Data Options'!$R$1:$S$100,2,FALSE), " ")</f>
        <v xml:space="preserve"> </v>
      </c>
      <c r="V21" s="32"/>
      <c r="W21" s="32"/>
      <c r="X21" s="53"/>
      <c r="Y21" s="21" t="str">
        <f>IFERROR(VLOOKUP(July[[#This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21" t="str">
        <f>IFERROR(VLOOKUP(July[[#This Row],[Drug Name4]],'Data Options'!$R$1:$S$100,2,FALSE), " ")</f>
        <v xml:space="preserve"> </v>
      </c>
      <c r="AI21" s="32"/>
      <c r="AJ21" s="32"/>
      <c r="AK21" s="53"/>
      <c r="AL21" s="21" t="str">
        <f>IFERROR(VLOOKUP(July[[#This Row],[Drug Name5]],'Data Options'!$R$1:$S$100,2,FALSE), " ")</f>
        <v xml:space="preserve"> </v>
      </c>
      <c r="AM21" s="32"/>
      <c r="AN21" s="32"/>
      <c r="AO21" s="53"/>
      <c r="AP21" s="21" t="str">
        <f>IFERROR(VLOOKUP(July[[#This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21" t="str">
        <f>IFERROR(VLOOKUP(July[[#This Row],[Drug Name7]],'Data Options'!$R$1:$S$100,2,FALSE), " ")</f>
        <v xml:space="preserve"> </v>
      </c>
      <c r="AZ21" s="32"/>
      <c r="BA21" s="32"/>
      <c r="BB21" s="53"/>
      <c r="BC21" s="21" t="str">
        <f>IFERROR(VLOOKUP(July[[#This Row],[Drug Name8]],'Data Options'!$R$1:$S$100,2,FALSE), " ")</f>
        <v xml:space="preserve"> </v>
      </c>
      <c r="BD21" s="32"/>
      <c r="BE21" s="32"/>
      <c r="BF21" s="53"/>
      <c r="BG21" s="21" t="str">
        <f>IFERROR(VLOOKUP(July[[#This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21" t="str">
        <f>IFERROR(VLOOKUP(July[[#This Row],[Drug Name]],'Data Options'!$R$1:$S$100,2,FALSE), " ")</f>
        <v xml:space="preserve"> </v>
      </c>
      <c r="R22" s="32"/>
      <c r="S22" s="32"/>
      <c r="T22" s="53"/>
      <c r="U22" s="21" t="str">
        <f>IFERROR(VLOOKUP(July[[#This Row],[Drug Name2]],'Data Options'!$R$1:$S$100,2,FALSE), " ")</f>
        <v xml:space="preserve"> </v>
      </c>
      <c r="V22" s="32"/>
      <c r="W22" s="32"/>
      <c r="X22" s="53"/>
      <c r="Y22" s="21" t="str">
        <f>IFERROR(VLOOKUP(July[[#This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21" t="str">
        <f>IFERROR(VLOOKUP(July[[#This Row],[Drug Name4]],'Data Options'!$R$1:$S$100,2,FALSE), " ")</f>
        <v xml:space="preserve"> </v>
      </c>
      <c r="AI22" s="32"/>
      <c r="AJ22" s="32"/>
      <c r="AK22" s="53"/>
      <c r="AL22" s="21" t="str">
        <f>IFERROR(VLOOKUP(July[[#This Row],[Drug Name5]],'Data Options'!$R$1:$S$100,2,FALSE), " ")</f>
        <v xml:space="preserve"> </v>
      </c>
      <c r="AM22" s="32"/>
      <c r="AN22" s="32"/>
      <c r="AO22" s="53"/>
      <c r="AP22" s="21" t="str">
        <f>IFERROR(VLOOKUP(July[[#This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21" t="str">
        <f>IFERROR(VLOOKUP(July[[#This Row],[Drug Name7]],'Data Options'!$R$1:$S$100,2,FALSE), " ")</f>
        <v xml:space="preserve"> </v>
      </c>
      <c r="AZ22" s="32"/>
      <c r="BA22" s="32"/>
      <c r="BB22" s="53"/>
      <c r="BC22" s="21" t="str">
        <f>IFERROR(VLOOKUP(July[[#This Row],[Drug Name8]],'Data Options'!$R$1:$S$100,2,FALSE), " ")</f>
        <v xml:space="preserve"> </v>
      </c>
      <c r="BD22" s="32"/>
      <c r="BE22" s="32"/>
      <c r="BF22" s="53"/>
      <c r="BG22" s="21" t="str">
        <f>IFERROR(VLOOKUP(July[[#This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21" t="str">
        <f>IFERROR(VLOOKUP(July[[#This Row],[Drug Name]],'Data Options'!$R$1:$S$100,2,FALSE), " ")</f>
        <v xml:space="preserve"> </v>
      </c>
      <c r="R23" s="32"/>
      <c r="S23" s="32"/>
      <c r="T23" s="53"/>
      <c r="U23" s="21" t="str">
        <f>IFERROR(VLOOKUP(July[[#This Row],[Drug Name2]],'Data Options'!$R$1:$S$100,2,FALSE), " ")</f>
        <v xml:space="preserve"> </v>
      </c>
      <c r="V23" s="32"/>
      <c r="W23" s="32"/>
      <c r="X23" s="53"/>
      <c r="Y23" s="21" t="str">
        <f>IFERROR(VLOOKUP(July[[#This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21" t="str">
        <f>IFERROR(VLOOKUP(July[[#This Row],[Drug Name4]],'Data Options'!$R$1:$S$100,2,FALSE), " ")</f>
        <v xml:space="preserve"> </v>
      </c>
      <c r="AI23" s="32"/>
      <c r="AJ23" s="32"/>
      <c r="AK23" s="53"/>
      <c r="AL23" s="21" t="str">
        <f>IFERROR(VLOOKUP(July[[#This Row],[Drug Name5]],'Data Options'!$R$1:$S$100,2,FALSE), " ")</f>
        <v xml:space="preserve"> </v>
      </c>
      <c r="AM23" s="32"/>
      <c r="AN23" s="32"/>
      <c r="AO23" s="53"/>
      <c r="AP23" s="21" t="str">
        <f>IFERROR(VLOOKUP(July[[#This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21" t="str">
        <f>IFERROR(VLOOKUP(July[[#This Row],[Drug Name7]],'Data Options'!$R$1:$S$100,2,FALSE), " ")</f>
        <v xml:space="preserve"> </v>
      </c>
      <c r="AZ23" s="32"/>
      <c r="BA23" s="32"/>
      <c r="BB23" s="53"/>
      <c r="BC23" s="21" t="str">
        <f>IFERROR(VLOOKUP(July[[#This Row],[Drug Name8]],'Data Options'!$R$1:$S$100,2,FALSE), " ")</f>
        <v xml:space="preserve"> </v>
      </c>
      <c r="BD23" s="32"/>
      <c r="BE23" s="32"/>
      <c r="BF23" s="53"/>
      <c r="BG23" s="21" t="str">
        <f>IFERROR(VLOOKUP(July[[#This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21" t="str">
        <f>IFERROR(VLOOKUP(July[[#This Row],[Drug Name]],'Data Options'!$R$1:$S$100,2,FALSE), " ")</f>
        <v xml:space="preserve"> </v>
      </c>
      <c r="R24" s="32"/>
      <c r="S24" s="32"/>
      <c r="T24" s="53"/>
      <c r="U24" s="21" t="str">
        <f>IFERROR(VLOOKUP(July[[#This Row],[Drug Name2]],'Data Options'!$R$1:$S$100,2,FALSE), " ")</f>
        <v xml:space="preserve"> </v>
      </c>
      <c r="V24" s="32"/>
      <c r="W24" s="32"/>
      <c r="X24" s="53"/>
      <c r="Y24" s="21" t="str">
        <f>IFERROR(VLOOKUP(July[[#This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21" t="str">
        <f>IFERROR(VLOOKUP(July[[#This Row],[Drug Name4]],'Data Options'!$R$1:$S$100,2,FALSE), " ")</f>
        <v xml:space="preserve"> </v>
      </c>
      <c r="AI24" s="32"/>
      <c r="AJ24" s="32"/>
      <c r="AK24" s="53"/>
      <c r="AL24" s="21" t="str">
        <f>IFERROR(VLOOKUP(July[[#This Row],[Drug Name5]],'Data Options'!$R$1:$S$100,2,FALSE), " ")</f>
        <v xml:space="preserve"> </v>
      </c>
      <c r="AM24" s="32"/>
      <c r="AN24" s="32"/>
      <c r="AO24" s="53"/>
      <c r="AP24" s="21" t="str">
        <f>IFERROR(VLOOKUP(July[[#This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21" t="str">
        <f>IFERROR(VLOOKUP(July[[#This Row],[Drug Name7]],'Data Options'!$R$1:$S$100,2,FALSE), " ")</f>
        <v xml:space="preserve"> </v>
      </c>
      <c r="AZ24" s="32"/>
      <c r="BA24" s="32"/>
      <c r="BB24" s="53"/>
      <c r="BC24" s="21" t="str">
        <f>IFERROR(VLOOKUP(July[[#This Row],[Drug Name8]],'Data Options'!$R$1:$S$100,2,FALSE), " ")</f>
        <v xml:space="preserve"> </v>
      </c>
      <c r="BD24" s="32"/>
      <c r="BE24" s="32"/>
      <c r="BF24" s="53"/>
      <c r="BG24" s="21" t="str">
        <f>IFERROR(VLOOKUP(July[[#This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21" t="str">
        <f>IFERROR(VLOOKUP(July[[#This Row],[Drug Name]],'Data Options'!$R$1:$S$100,2,FALSE), " ")</f>
        <v xml:space="preserve"> </v>
      </c>
      <c r="R25" s="32"/>
      <c r="S25" s="32"/>
      <c r="T25" s="53"/>
      <c r="U25" s="21" t="str">
        <f>IFERROR(VLOOKUP(July[[#This Row],[Drug Name2]],'Data Options'!$R$1:$S$100,2,FALSE), " ")</f>
        <v xml:space="preserve"> </v>
      </c>
      <c r="V25" s="32"/>
      <c r="W25" s="32"/>
      <c r="X25" s="53"/>
      <c r="Y25" s="21" t="str">
        <f>IFERROR(VLOOKUP(July[[#This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21" t="str">
        <f>IFERROR(VLOOKUP(July[[#This Row],[Drug Name4]],'Data Options'!$R$1:$S$100,2,FALSE), " ")</f>
        <v xml:space="preserve"> </v>
      </c>
      <c r="AI25" s="32"/>
      <c r="AJ25" s="32"/>
      <c r="AK25" s="53"/>
      <c r="AL25" s="21" t="str">
        <f>IFERROR(VLOOKUP(July[[#This Row],[Drug Name5]],'Data Options'!$R$1:$S$100,2,FALSE), " ")</f>
        <v xml:space="preserve"> </v>
      </c>
      <c r="AM25" s="32"/>
      <c r="AN25" s="32"/>
      <c r="AO25" s="53"/>
      <c r="AP25" s="21" t="str">
        <f>IFERROR(VLOOKUP(July[[#This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21" t="str">
        <f>IFERROR(VLOOKUP(July[[#This Row],[Drug Name7]],'Data Options'!$R$1:$S$100,2,FALSE), " ")</f>
        <v xml:space="preserve"> </v>
      </c>
      <c r="AZ25" s="32"/>
      <c r="BA25" s="32"/>
      <c r="BB25" s="53"/>
      <c r="BC25" s="21" t="str">
        <f>IFERROR(VLOOKUP(July[[#This Row],[Drug Name8]],'Data Options'!$R$1:$S$100,2,FALSE), " ")</f>
        <v xml:space="preserve"> </v>
      </c>
      <c r="BD25" s="32"/>
      <c r="BE25" s="32"/>
      <c r="BF25" s="53"/>
      <c r="BG25" s="21" t="str">
        <f>IFERROR(VLOOKUP(July[[#This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21" t="str">
        <f>IFERROR(VLOOKUP(July[[#This Row],[Drug Name]],'Data Options'!$R$1:$S$100,2,FALSE), " ")</f>
        <v xml:space="preserve"> </v>
      </c>
      <c r="R26" s="32"/>
      <c r="S26" s="32"/>
      <c r="T26" s="53"/>
      <c r="U26" s="21" t="str">
        <f>IFERROR(VLOOKUP(July[[#This Row],[Drug Name2]],'Data Options'!$R$1:$S$100,2,FALSE), " ")</f>
        <v xml:space="preserve"> </v>
      </c>
      <c r="V26" s="32"/>
      <c r="W26" s="32"/>
      <c r="X26" s="53"/>
      <c r="Y26" s="21" t="str">
        <f>IFERROR(VLOOKUP(July[[#This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21" t="str">
        <f>IFERROR(VLOOKUP(July[[#This Row],[Drug Name4]],'Data Options'!$R$1:$S$100,2,FALSE), " ")</f>
        <v xml:space="preserve"> </v>
      </c>
      <c r="AI26" s="32"/>
      <c r="AJ26" s="32"/>
      <c r="AK26" s="53"/>
      <c r="AL26" s="21" t="str">
        <f>IFERROR(VLOOKUP(July[[#This Row],[Drug Name5]],'Data Options'!$R$1:$S$100,2,FALSE), " ")</f>
        <v xml:space="preserve"> </v>
      </c>
      <c r="AM26" s="32"/>
      <c r="AN26" s="32"/>
      <c r="AO26" s="53"/>
      <c r="AP26" s="21" t="str">
        <f>IFERROR(VLOOKUP(July[[#This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21" t="str">
        <f>IFERROR(VLOOKUP(July[[#This Row],[Drug Name7]],'Data Options'!$R$1:$S$100,2,FALSE), " ")</f>
        <v xml:space="preserve"> </v>
      </c>
      <c r="AZ26" s="32"/>
      <c r="BA26" s="32"/>
      <c r="BB26" s="53"/>
      <c r="BC26" s="21" t="str">
        <f>IFERROR(VLOOKUP(July[[#This Row],[Drug Name8]],'Data Options'!$R$1:$S$100,2,FALSE), " ")</f>
        <v xml:space="preserve"> </v>
      </c>
      <c r="BD26" s="32"/>
      <c r="BE26" s="32"/>
      <c r="BF26" s="53"/>
      <c r="BG26" s="21" t="str">
        <f>IFERROR(VLOOKUP(July[[#This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21" t="str">
        <f>IFERROR(VLOOKUP(July[[#This Row],[Drug Name]],'Data Options'!$R$1:$S$100,2,FALSE), " ")</f>
        <v xml:space="preserve"> </v>
      </c>
      <c r="R27" s="32"/>
      <c r="S27" s="32"/>
      <c r="T27" s="53"/>
      <c r="U27" s="21" t="str">
        <f>IFERROR(VLOOKUP(July[[#This Row],[Drug Name2]],'Data Options'!$R$1:$S$100,2,FALSE), " ")</f>
        <v xml:space="preserve"> </v>
      </c>
      <c r="V27" s="32"/>
      <c r="W27" s="32"/>
      <c r="X27" s="53"/>
      <c r="Y27" s="21" t="str">
        <f>IFERROR(VLOOKUP(July[[#This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21" t="str">
        <f>IFERROR(VLOOKUP(July[[#This Row],[Drug Name4]],'Data Options'!$R$1:$S$100,2,FALSE), " ")</f>
        <v xml:space="preserve"> </v>
      </c>
      <c r="AI27" s="32"/>
      <c r="AJ27" s="32"/>
      <c r="AK27" s="53"/>
      <c r="AL27" s="21" t="str">
        <f>IFERROR(VLOOKUP(July[[#This Row],[Drug Name5]],'Data Options'!$R$1:$S$100,2,FALSE), " ")</f>
        <v xml:space="preserve"> </v>
      </c>
      <c r="AM27" s="32"/>
      <c r="AN27" s="32"/>
      <c r="AO27" s="53"/>
      <c r="AP27" s="21" t="str">
        <f>IFERROR(VLOOKUP(July[[#This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21" t="str">
        <f>IFERROR(VLOOKUP(July[[#This Row],[Drug Name7]],'Data Options'!$R$1:$S$100,2,FALSE), " ")</f>
        <v xml:space="preserve"> </v>
      </c>
      <c r="AZ27" s="32"/>
      <c r="BA27" s="32"/>
      <c r="BB27" s="53"/>
      <c r="BC27" s="21" t="str">
        <f>IFERROR(VLOOKUP(July[[#This Row],[Drug Name8]],'Data Options'!$R$1:$S$100,2,FALSE), " ")</f>
        <v xml:space="preserve"> </v>
      </c>
      <c r="BD27" s="32"/>
      <c r="BE27" s="32"/>
      <c r="BF27" s="53"/>
      <c r="BG27" s="21" t="str">
        <f>IFERROR(VLOOKUP(July[[#This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21" t="str">
        <f>IFERROR(VLOOKUP(July[[#This Row],[Drug Name]],'Data Options'!$R$1:$S$100,2,FALSE), " ")</f>
        <v xml:space="preserve"> </v>
      </c>
      <c r="R28" s="32"/>
      <c r="S28" s="32"/>
      <c r="T28" s="53"/>
      <c r="U28" s="21" t="str">
        <f>IFERROR(VLOOKUP(July[[#This Row],[Drug Name2]],'Data Options'!$R$1:$S$100,2,FALSE), " ")</f>
        <v xml:space="preserve"> </v>
      </c>
      <c r="V28" s="32"/>
      <c r="W28" s="32"/>
      <c r="X28" s="53"/>
      <c r="Y28" s="21" t="str">
        <f>IFERROR(VLOOKUP(July[[#This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21" t="str">
        <f>IFERROR(VLOOKUP(July[[#This Row],[Drug Name4]],'Data Options'!$R$1:$S$100,2,FALSE), " ")</f>
        <v xml:space="preserve"> </v>
      </c>
      <c r="AI28" s="32"/>
      <c r="AJ28" s="32"/>
      <c r="AK28" s="53"/>
      <c r="AL28" s="21" t="str">
        <f>IFERROR(VLOOKUP(July[[#This Row],[Drug Name5]],'Data Options'!$R$1:$S$100,2,FALSE), " ")</f>
        <v xml:space="preserve"> </v>
      </c>
      <c r="AM28" s="32"/>
      <c r="AN28" s="32"/>
      <c r="AO28" s="53"/>
      <c r="AP28" s="21" t="str">
        <f>IFERROR(VLOOKUP(July[[#This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21" t="str">
        <f>IFERROR(VLOOKUP(July[[#This Row],[Drug Name7]],'Data Options'!$R$1:$S$100,2,FALSE), " ")</f>
        <v xml:space="preserve"> </v>
      </c>
      <c r="AZ28" s="32"/>
      <c r="BA28" s="32"/>
      <c r="BB28" s="53"/>
      <c r="BC28" s="21" t="str">
        <f>IFERROR(VLOOKUP(July[[#This Row],[Drug Name8]],'Data Options'!$R$1:$S$100,2,FALSE), " ")</f>
        <v xml:space="preserve"> </v>
      </c>
      <c r="BD28" s="32"/>
      <c r="BE28" s="32"/>
      <c r="BF28" s="53"/>
      <c r="BG28" s="21" t="str">
        <f>IFERROR(VLOOKUP(July[[#This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21" t="str">
        <f>IFERROR(VLOOKUP(July[[#This Row],[Drug Name]],'Data Options'!$R$1:$S$100,2,FALSE), " ")</f>
        <v xml:space="preserve"> </v>
      </c>
      <c r="R29" s="32"/>
      <c r="S29" s="32"/>
      <c r="T29" s="53"/>
      <c r="U29" s="21" t="str">
        <f>IFERROR(VLOOKUP(July[[#This Row],[Drug Name2]],'Data Options'!$R$1:$S$100,2,FALSE), " ")</f>
        <v xml:space="preserve"> </v>
      </c>
      <c r="V29" s="32"/>
      <c r="W29" s="32"/>
      <c r="X29" s="53"/>
      <c r="Y29" s="21" t="str">
        <f>IFERROR(VLOOKUP(July[[#This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21" t="str">
        <f>IFERROR(VLOOKUP(July[[#This Row],[Drug Name4]],'Data Options'!$R$1:$S$100,2,FALSE), " ")</f>
        <v xml:space="preserve"> </v>
      </c>
      <c r="AI29" s="32"/>
      <c r="AJ29" s="32"/>
      <c r="AK29" s="53"/>
      <c r="AL29" s="21" t="str">
        <f>IFERROR(VLOOKUP(July[[#This Row],[Drug Name5]],'Data Options'!$R$1:$S$100,2,FALSE), " ")</f>
        <v xml:space="preserve"> </v>
      </c>
      <c r="AM29" s="32"/>
      <c r="AN29" s="32"/>
      <c r="AO29" s="53"/>
      <c r="AP29" s="21" t="str">
        <f>IFERROR(VLOOKUP(July[[#This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21" t="str">
        <f>IFERROR(VLOOKUP(July[[#This Row],[Drug Name7]],'Data Options'!$R$1:$S$100,2,FALSE), " ")</f>
        <v xml:space="preserve"> </v>
      </c>
      <c r="AZ29" s="32"/>
      <c r="BA29" s="32"/>
      <c r="BB29" s="53"/>
      <c r="BC29" s="21" t="str">
        <f>IFERROR(VLOOKUP(July[[#This Row],[Drug Name8]],'Data Options'!$R$1:$S$100,2,FALSE), " ")</f>
        <v xml:space="preserve"> </v>
      </c>
      <c r="BD29" s="32"/>
      <c r="BE29" s="32"/>
      <c r="BF29" s="53"/>
      <c r="BG29" s="21" t="str">
        <f>IFERROR(VLOOKUP(July[[#This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21" t="str">
        <f>IFERROR(VLOOKUP(July[[#This Row],[Drug Name]],'Data Options'!$R$1:$S$100,2,FALSE), " ")</f>
        <v xml:space="preserve"> </v>
      </c>
      <c r="R30" s="32"/>
      <c r="S30" s="32"/>
      <c r="T30" s="53"/>
      <c r="U30" s="21" t="str">
        <f>IFERROR(VLOOKUP(July[[#This Row],[Drug Name2]],'Data Options'!$R$1:$S$100,2,FALSE), " ")</f>
        <v xml:space="preserve"> </v>
      </c>
      <c r="V30" s="32"/>
      <c r="W30" s="32"/>
      <c r="X30" s="53"/>
      <c r="Y30" s="21" t="str">
        <f>IFERROR(VLOOKUP(July[[#This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21" t="str">
        <f>IFERROR(VLOOKUP(July[[#This Row],[Drug Name4]],'Data Options'!$R$1:$S$100,2,FALSE), " ")</f>
        <v xml:space="preserve"> </v>
      </c>
      <c r="AI30" s="32"/>
      <c r="AJ30" s="32"/>
      <c r="AK30" s="53"/>
      <c r="AL30" s="21" t="str">
        <f>IFERROR(VLOOKUP(July[[#This Row],[Drug Name5]],'Data Options'!$R$1:$S$100,2,FALSE), " ")</f>
        <v xml:space="preserve"> </v>
      </c>
      <c r="AM30" s="32"/>
      <c r="AN30" s="32"/>
      <c r="AO30" s="53"/>
      <c r="AP30" s="21" t="str">
        <f>IFERROR(VLOOKUP(July[[#This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21" t="str">
        <f>IFERROR(VLOOKUP(July[[#This Row],[Drug Name7]],'Data Options'!$R$1:$S$100,2,FALSE), " ")</f>
        <v xml:space="preserve"> </v>
      </c>
      <c r="AZ30" s="32"/>
      <c r="BA30" s="32"/>
      <c r="BB30" s="53"/>
      <c r="BC30" s="21" t="str">
        <f>IFERROR(VLOOKUP(July[[#This Row],[Drug Name8]],'Data Options'!$R$1:$S$100,2,FALSE), " ")</f>
        <v xml:space="preserve"> </v>
      </c>
      <c r="BD30" s="32"/>
      <c r="BE30" s="32"/>
      <c r="BF30" s="53"/>
      <c r="BG30" s="21" t="str">
        <f>IFERROR(VLOOKUP(July[[#This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21" t="str">
        <f>IFERROR(VLOOKUP(July[[#This Row],[Drug Name]],'Data Options'!$R$1:$S$100,2,FALSE), " ")</f>
        <v xml:space="preserve"> </v>
      </c>
      <c r="R31" s="32"/>
      <c r="S31" s="32"/>
      <c r="T31" s="53"/>
      <c r="U31" s="21" t="str">
        <f>IFERROR(VLOOKUP(July[[#This Row],[Drug Name2]],'Data Options'!$R$1:$S$100,2,FALSE), " ")</f>
        <v xml:space="preserve"> </v>
      </c>
      <c r="V31" s="32"/>
      <c r="W31" s="32"/>
      <c r="X31" s="53"/>
      <c r="Y31" s="21" t="str">
        <f>IFERROR(VLOOKUP(July[[#This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21" t="str">
        <f>IFERROR(VLOOKUP(July[[#This Row],[Drug Name4]],'Data Options'!$R$1:$S$100,2,FALSE), " ")</f>
        <v xml:space="preserve"> </v>
      </c>
      <c r="AI31" s="32"/>
      <c r="AJ31" s="32"/>
      <c r="AK31" s="53"/>
      <c r="AL31" s="21" t="str">
        <f>IFERROR(VLOOKUP(July[[#This Row],[Drug Name5]],'Data Options'!$R$1:$S$100,2,FALSE), " ")</f>
        <v xml:space="preserve"> </v>
      </c>
      <c r="AM31" s="32"/>
      <c r="AN31" s="32"/>
      <c r="AO31" s="53"/>
      <c r="AP31" s="21" t="str">
        <f>IFERROR(VLOOKUP(July[[#This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21" t="str">
        <f>IFERROR(VLOOKUP(July[[#This Row],[Drug Name7]],'Data Options'!$R$1:$S$100,2,FALSE), " ")</f>
        <v xml:space="preserve"> </v>
      </c>
      <c r="AZ31" s="32"/>
      <c r="BA31" s="32"/>
      <c r="BB31" s="53"/>
      <c r="BC31" s="21" t="str">
        <f>IFERROR(VLOOKUP(July[[#This Row],[Drug Name8]],'Data Options'!$R$1:$S$100,2,FALSE), " ")</f>
        <v xml:space="preserve"> </v>
      </c>
      <c r="BD31" s="32"/>
      <c r="BE31" s="32"/>
      <c r="BF31" s="53"/>
      <c r="BG31" s="21" t="str">
        <f>IFERROR(VLOOKUP(July[[#This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21" t="str">
        <f>IFERROR(VLOOKUP(July[[#This Row],[Drug Name]],'Data Options'!$R$1:$S$100,2,FALSE), " ")</f>
        <v xml:space="preserve"> </v>
      </c>
      <c r="R32" s="32"/>
      <c r="S32" s="32"/>
      <c r="T32" s="53"/>
      <c r="U32" s="21" t="str">
        <f>IFERROR(VLOOKUP(July[[#This Row],[Drug Name2]],'Data Options'!$R$1:$S$100,2,FALSE), " ")</f>
        <v xml:space="preserve"> </v>
      </c>
      <c r="V32" s="32"/>
      <c r="W32" s="32"/>
      <c r="X32" s="53"/>
      <c r="Y32" s="21" t="str">
        <f>IFERROR(VLOOKUP(July[[#This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21" t="str">
        <f>IFERROR(VLOOKUP(July[[#This Row],[Drug Name4]],'Data Options'!$R$1:$S$100,2,FALSE), " ")</f>
        <v xml:space="preserve"> </v>
      </c>
      <c r="AI32" s="32"/>
      <c r="AJ32" s="32"/>
      <c r="AK32" s="53"/>
      <c r="AL32" s="21" t="str">
        <f>IFERROR(VLOOKUP(July[[#This Row],[Drug Name5]],'Data Options'!$R$1:$S$100,2,FALSE), " ")</f>
        <v xml:space="preserve"> </v>
      </c>
      <c r="AM32" s="32"/>
      <c r="AN32" s="32"/>
      <c r="AO32" s="53"/>
      <c r="AP32" s="21" t="str">
        <f>IFERROR(VLOOKUP(July[[#This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21" t="str">
        <f>IFERROR(VLOOKUP(July[[#This Row],[Drug Name7]],'Data Options'!$R$1:$S$100,2,FALSE), " ")</f>
        <v xml:space="preserve"> </v>
      </c>
      <c r="AZ32" s="32"/>
      <c r="BA32" s="32"/>
      <c r="BB32" s="53"/>
      <c r="BC32" s="21" t="str">
        <f>IFERROR(VLOOKUP(July[[#This Row],[Drug Name8]],'Data Options'!$R$1:$S$100,2,FALSE), " ")</f>
        <v xml:space="preserve"> </v>
      </c>
      <c r="BD32" s="32"/>
      <c r="BE32" s="32"/>
      <c r="BF32" s="53"/>
      <c r="BG32" s="21" t="str">
        <f>IFERROR(VLOOKUP(July[[#This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21" t="str">
        <f>IFERROR(VLOOKUP(July[[#This Row],[Drug Name]],'Data Options'!$R$1:$S$100,2,FALSE), " ")</f>
        <v xml:space="preserve"> </v>
      </c>
      <c r="R33" s="32"/>
      <c r="S33" s="32"/>
      <c r="T33" s="53"/>
      <c r="U33" s="21" t="str">
        <f>IFERROR(VLOOKUP(July[[#This Row],[Drug Name2]],'Data Options'!$R$1:$S$100,2,FALSE), " ")</f>
        <v xml:space="preserve"> </v>
      </c>
      <c r="V33" s="32"/>
      <c r="W33" s="32"/>
      <c r="X33" s="53"/>
      <c r="Y33" s="21" t="str">
        <f>IFERROR(VLOOKUP(July[[#This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21" t="str">
        <f>IFERROR(VLOOKUP(July[[#This Row],[Drug Name4]],'Data Options'!$R$1:$S$100,2,FALSE), " ")</f>
        <v xml:space="preserve"> </v>
      </c>
      <c r="AI33" s="32"/>
      <c r="AJ33" s="32"/>
      <c r="AK33" s="53"/>
      <c r="AL33" s="21" t="str">
        <f>IFERROR(VLOOKUP(July[[#This Row],[Drug Name5]],'Data Options'!$R$1:$S$100,2,FALSE), " ")</f>
        <v xml:space="preserve"> </v>
      </c>
      <c r="AM33" s="32"/>
      <c r="AN33" s="32"/>
      <c r="AO33" s="53"/>
      <c r="AP33" s="21" t="str">
        <f>IFERROR(VLOOKUP(July[[#This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21" t="str">
        <f>IFERROR(VLOOKUP(July[[#This Row],[Drug Name7]],'Data Options'!$R$1:$S$100,2,FALSE), " ")</f>
        <v xml:space="preserve"> </v>
      </c>
      <c r="AZ33" s="32"/>
      <c r="BA33" s="32"/>
      <c r="BB33" s="53"/>
      <c r="BC33" s="21" t="str">
        <f>IFERROR(VLOOKUP(July[[#This Row],[Drug Name8]],'Data Options'!$R$1:$S$100,2,FALSE), " ")</f>
        <v xml:space="preserve"> </v>
      </c>
      <c r="BD33" s="32"/>
      <c r="BE33" s="32"/>
      <c r="BF33" s="53"/>
      <c r="BG33" s="21" t="str">
        <f>IFERROR(VLOOKUP(July[[#This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21" t="str">
        <f>IFERROR(VLOOKUP(July[[#This Row],[Drug Name]],'Data Options'!$R$1:$S$100,2,FALSE), " ")</f>
        <v xml:space="preserve"> </v>
      </c>
      <c r="R34" s="32"/>
      <c r="S34" s="32"/>
      <c r="T34" s="53"/>
      <c r="U34" s="21" t="str">
        <f>IFERROR(VLOOKUP(July[[#This Row],[Drug Name2]],'Data Options'!$R$1:$S$100,2,FALSE), " ")</f>
        <v xml:space="preserve"> </v>
      </c>
      <c r="V34" s="32"/>
      <c r="W34" s="32"/>
      <c r="X34" s="53"/>
      <c r="Y34" s="21" t="str">
        <f>IFERROR(VLOOKUP(July[[#This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21" t="str">
        <f>IFERROR(VLOOKUP(July[[#This Row],[Drug Name4]],'Data Options'!$R$1:$S$100,2,FALSE), " ")</f>
        <v xml:space="preserve"> </v>
      </c>
      <c r="AI34" s="32"/>
      <c r="AJ34" s="32"/>
      <c r="AK34" s="53"/>
      <c r="AL34" s="21" t="str">
        <f>IFERROR(VLOOKUP(July[[#This Row],[Drug Name5]],'Data Options'!$R$1:$S$100,2,FALSE), " ")</f>
        <v xml:space="preserve"> </v>
      </c>
      <c r="AM34" s="32"/>
      <c r="AN34" s="32"/>
      <c r="AO34" s="53"/>
      <c r="AP34" s="21" t="str">
        <f>IFERROR(VLOOKUP(July[[#This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21" t="str">
        <f>IFERROR(VLOOKUP(July[[#This Row],[Drug Name7]],'Data Options'!$R$1:$S$100,2,FALSE), " ")</f>
        <v xml:space="preserve"> </v>
      </c>
      <c r="AZ34" s="32"/>
      <c r="BA34" s="32"/>
      <c r="BB34" s="53"/>
      <c r="BC34" s="21" t="str">
        <f>IFERROR(VLOOKUP(July[[#This Row],[Drug Name8]],'Data Options'!$R$1:$S$100,2,FALSE), " ")</f>
        <v xml:space="preserve"> </v>
      </c>
      <c r="BD34" s="32"/>
      <c r="BE34" s="32"/>
      <c r="BF34" s="53"/>
      <c r="BG34" s="21" t="str">
        <f>IFERROR(VLOOKUP(July[[#This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21" t="str">
        <f>IFERROR(VLOOKUP(July[[#This Row],[Drug Name]],'Data Options'!$R$1:$S$100,2,FALSE), " ")</f>
        <v xml:space="preserve"> </v>
      </c>
      <c r="R35" s="32"/>
      <c r="S35" s="32"/>
      <c r="T35" s="53"/>
      <c r="U35" s="21" t="str">
        <f>IFERROR(VLOOKUP(July[[#This Row],[Drug Name2]],'Data Options'!$R$1:$S$100,2,FALSE), " ")</f>
        <v xml:space="preserve"> </v>
      </c>
      <c r="V35" s="32"/>
      <c r="W35" s="32"/>
      <c r="X35" s="53"/>
      <c r="Y35" s="21" t="str">
        <f>IFERROR(VLOOKUP(July[[#This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21" t="str">
        <f>IFERROR(VLOOKUP(July[[#This Row],[Drug Name4]],'Data Options'!$R$1:$S$100,2,FALSE), " ")</f>
        <v xml:space="preserve"> </v>
      </c>
      <c r="AI35" s="32"/>
      <c r="AJ35" s="32"/>
      <c r="AK35" s="53"/>
      <c r="AL35" s="21" t="str">
        <f>IFERROR(VLOOKUP(July[[#This Row],[Drug Name5]],'Data Options'!$R$1:$S$100,2,FALSE), " ")</f>
        <v xml:space="preserve"> </v>
      </c>
      <c r="AM35" s="32"/>
      <c r="AN35" s="32"/>
      <c r="AO35" s="53"/>
      <c r="AP35" s="21" t="str">
        <f>IFERROR(VLOOKUP(July[[#This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21" t="str">
        <f>IFERROR(VLOOKUP(July[[#This Row],[Drug Name7]],'Data Options'!$R$1:$S$100,2,FALSE), " ")</f>
        <v xml:space="preserve"> </v>
      </c>
      <c r="AZ35" s="32"/>
      <c r="BA35" s="32"/>
      <c r="BB35" s="53"/>
      <c r="BC35" s="21" t="str">
        <f>IFERROR(VLOOKUP(July[[#This Row],[Drug Name8]],'Data Options'!$R$1:$S$100,2,FALSE), " ")</f>
        <v xml:space="preserve"> </v>
      </c>
      <c r="BD35" s="32"/>
      <c r="BE35" s="32"/>
      <c r="BF35" s="53"/>
      <c r="BG35" s="21" t="str">
        <f>IFERROR(VLOOKUP(July[[#This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21" t="str">
        <f>IFERROR(VLOOKUP(July[[#This Row],[Drug Name]],'Data Options'!$R$1:$S$100,2,FALSE), " ")</f>
        <v xml:space="preserve"> </v>
      </c>
      <c r="R36" s="32"/>
      <c r="S36" s="32"/>
      <c r="T36" s="53"/>
      <c r="U36" s="21" t="str">
        <f>IFERROR(VLOOKUP(July[[#This Row],[Drug Name2]],'Data Options'!$R$1:$S$100,2,FALSE), " ")</f>
        <v xml:space="preserve"> </v>
      </c>
      <c r="V36" s="32"/>
      <c r="W36" s="32"/>
      <c r="X36" s="53"/>
      <c r="Y36" s="21" t="str">
        <f>IFERROR(VLOOKUP(July[[#This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21" t="str">
        <f>IFERROR(VLOOKUP(July[[#This Row],[Drug Name4]],'Data Options'!$R$1:$S$100,2,FALSE), " ")</f>
        <v xml:space="preserve"> </v>
      </c>
      <c r="AI36" s="32"/>
      <c r="AJ36" s="32"/>
      <c r="AK36" s="53"/>
      <c r="AL36" s="21" t="str">
        <f>IFERROR(VLOOKUP(July[[#This Row],[Drug Name5]],'Data Options'!$R$1:$S$100,2,FALSE), " ")</f>
        <v xml:space="preserve"> </v>
      </c>
      <c r="AM36" s="32"/>
      <c r="AN36" s="32"/>
      <c r="AO36" s="53"/>
      <c r="AP36" s="21" t="str">
        <f>IFERROR(VLOOKUP(July[[#This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21" t="str">
        <f>IFERROR(VLOOKUP(July[[#This Row],[Drug Name7]],'Data Options'!$R$1:$S$100,2,FALSE), " ")</f>
        <v xml:space="preserve"> </v>
      </c>
      <c r="AZ36" s="32"/>
      <c r="BA36" s="32"/>
      <c r="BB36" s="53"/>
      <c r="BC36" s="21" t="str">
        <f>IFERROR(VLOOKUP(July[[#This Row],[Drug Name8]],'Data Options'!$R$1:$S$100,2,FALSE), " ")</f>
        <v xml:space="preserve"> </v>
      </c>
      <c r="BD36" s="32"/>
      <c r="BE36" s="32"/>
      <c r="BF36" s="53"/>
      <c r="BG36" s="21" t="str">
        <f>IFERROR(VLOOKUP(July[[#This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21" t="str">
        <f>IFERROR(VLOOKUP(July[[#This Row],[Drug Name]],'Data Options'!$R$1:$S$100,2,FALSE), " ")</f>
        <v xml:space="preserve"> </v>
      </c>
      <c r="R37" s="32"/>
      <c r="S37" s="32"/>
      <c r="T37" s="53"/>
      <c r="U37" s="21" t="str">
        <f>IFERROR(VLOOKUP(July[[#This Row],[Drug Name2]],'Data Options'!$R$1:$S$100,2,FALSE), " ")</f>
        <v xml:space="preserve"> </v>
      </c>
      <c r="V37" s="32"/>
      <c r="W37" s="32"/>
      <c r="X37" s="53"/>
      <c r="Y37" s="21" t="str">
        <f>IFERROR(VLOOKUP(July[[#This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21" t="str">
        <f>IFERROR(VLOOKUP(July[[#This Row],[Drug Name4]],'Data Options'!$R$1:$S$100,2,FALSE), " ")</f>
        <v xml:space="preserve"> </v>
      </c>
      <c r="AI37" s="32"/>
      <c r="AJ37" s="32"/>
      <c r="AK37" s="53"/>
      <c r="AL37" s="21" t="str">
        <f>IFERROR(VLOOKUP(July[[#This Row],[Drug Name5]],'Data Options'!$R$1:$S$100,2,FALSE), " ")</f>
        <v xml:space="preserve"> </v>
      </c>
      <c r="AM37" s="32"/>
      <c r="AN37" s="32"/>
      <c r="AO37" s="53"/>
      <c r="AP37" s="21" t="str">
        <f>IFERROR(VLOOKUP(July[[#This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21" t="str">
        <f>IFERROR(VLOOKUP(July[[#This Row],[Drug Name7]],'Data Options'!$R$1:$S$100,2,FALSE), " ")</f>
        <v xml:space="preserve"> </v>
      </c>
      <c r="AZ37" s="32"/>
      <c r="BA37" s="32"/>
      <c r="BB37" s="53"/>
      <c r="BC37" s="21" t="str">
        <f>IFERROR(VLOOKUP(July[[#This Row],[Drug Name8]],'Data Options'!$R$1:$S$100,2,FALSE), " ")</f>
        <v xml:space="preserve"> </v>
      </c>
      <c r="BD37" s="32"/>
      <c r="BE37" s="32"/>
      <c r="BF37" s="53"/>
      <c r="BG37" s="21" t="str">
        <f>IFERROR(VLOOKUP(July[[#This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21" t="str">
        <f>IFERROR(VLOOKUP(July[[#This Row],[Drug Name]],'Data Options'!$R$1:$S$100,2,FALSE), " ")</f>
        <v xml:space="preserve"> </v>
      </c>
      <c r="R38" s="32"/>
      <c r="S38" s="32"/>
      <c r="T38" s="53"/>
      <c r="U38" s="21" t="str">
        <f>IFERROR(VLOOKUP(July[[#This Row],[Drug Name2]],'Data Options'!$R$1:$S$100,2,FALSE), " ")</f>
        <v xml:space="preserve"> </v>
      </c>
      <c r="V38" s="32"/>
      <c r="W38" s="32"/>
      <c r="X38" s="53"/>
      <c r="Y38" s="21" t="str">
        <f>IFERROR(VLOOKUP(July[[#This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21" t="str">
        <f>IFERROR(VLOOKUP(July[[#This Row],[Drug Name4]],'Data Options'!$R$1:$S$100,2,FALSE), " ")</f>
        <v xml:space="preserve"> </v>
      </c>
      <c r="AI38" s="32"/>
      <c r="AJ38" s="32"/>
      <c r="AK38" s="53"/>
      <c r="AL38" s="21" t="str">
        <f>IFERROR(VLOOKUP(July[[#This Row],[Drug Name5]],'Data Options'!$R$1:$S$100,2,FALSE), " ")</f>
        <v xml:space="preserve"> </v>
      </c>
      <c r="AM38" s="32"/>
      <c r="AN38" s="32"/>
      <c r="AO38" s="53"/>
      <c r="AP38" s="21" t="str">
        <f>IFERROR(VLOOKUP(July[[#This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21" t="str">
        <f>IFERROR(VLOOKUP(July[[#This Row],[Drug Name7]],'Data Options'!$R$1:$S$100,2,FALSE), " ")</f>
        <v xml:space="preserve"> </v>
      </c>
      <c r="AZ38" s="32"/>
      <c r="BA38" s="32"/>
      <c r="BB38" s="53"/>
      <c r="BC38" s="21" t="str">
        <f>IFERROR(VLOOKUP(July[[#This Row],[Drug Name8]],'Data Options'!$R$1:$S$100,2,FALSE), " ")</f>
        <v xml:space="preserve"> </v>
      </c>
      <c r="BD38" s="32"/>
      <c r="BE38" s="32"/>
      <c r="BF38" s="53"/>
      <c r="BG38" s="21" t="str">
        <f>IFERROR(VLOOKUP(July[[#This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21" t="str">
        <f>IFERROR(VLOOKUP(July[[#This Row],[Drug Name]],'Data Options'!$R$1:$S$100,2,FALSE), " ")</f>
        <v xml:space="preserve"> </v>
      </c>
      <c r="R39" s="32"/>
      <c r="S39" s="32"/>
      <c r="T39" s="53"/>
      <c r="U39" s="21" t="str">
        <f>IFERROR(VLOOKUP(July[[#This Row],[Drug Name2]],'Data Options'!$R$1:$S$100,2,FALSE), " ")</f>
        <v xml:space="preserve"> </v>
      </c>
      <c r="V39" s="32"/>
      <c r="W39" s="32"/>
      <c r="X39" s="53"/>
      <c r="Y39" s="21" t="str">
        <f>IFERROR(VLOOKUP(July[[#This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21" t="str">
        <f>IFERROR(VLOOKUP(July[[#This Row],[Drug Name4]],'Data Options'!$R$1:$S$100,2,FALSE), " ")</f>
        <v xml:space="preserve"> </v>
      </c>
      <c r="AI39" s="32"/>
      <c r="AJ39" s="32"/>
      <c r="AK39" s="53"/>
      <c r="AL39" s="21" t="str">
        <f>IFERROR(VLOOKUP(July[[#This Row],[Drug Name5]],'Data Options'!$R$1:$S$100,2,FALSE), " ")</f>
        <v xml:space="preserve"> </v>
      </c>
      <c r="AM39" s="32"/>
      <c r="AN39" s="32"/>
      <c r="AO39" s="53"/>
      <c r="AP39" s="21" t="str">
        <f>IFERROR(VLOOKUP(July[[#This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21" t="str">
        <f>IFERROR(VLOOKUP(July[[#This Row],[Drug Name7]],'Data Options'!$R$1:$S$100,2,FALSE), " ")</f>
        <v xml:space="preserve"> </v>
      </c>
      <c r="AZ39" s="32"/>
      <c r="BA39" s="32"/>
      <c r="BB39" s="53"/>
      <c r="BC39" s="21" t="str">
        <f>IFERROR(VLOOKUP(July[[#This Row],[Drug Name8]],'Data Options'!$R$1:$S$100,2,FALSE), " ")</f>
        <v xml:space="preserve"> </v>
      </c>
      <c r="BD39" s="32"/>
      <c r="BE39" s="32"/>
      <c r="BF39" s="53"/>
      <c r="BG39" s="21" t="str">
        <f>IFERROR(VLOOKUP(July[[#This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21" t="str">
        <f>IFERROR(VLOOKUP(July[[#This Row],[Drug Name]],'Data Options'!$R$1:$S$100,2,FALSE), " ")</f>
        <v xml:space="preserve"> </v>
      </c>
      <c r="R40" s="32"/>
      <c r="S40" s="32"/>
      <c r="T40" s="53"/>
      <c r="U40" s="21" t="str">
        <f>IFERROR(VLOOKUP(July[[#This Row],[Drug Name2]],'Data Options'!$R$1:$S$100,2,FALSE), " ")</f>
        <v xml:space="preserve"> </v>
      </c>
      <c r="V40" s="32"/>
      <c r="W40" s="32"/>
      <c r="X40" s="53"/>
      <c r="Y40" s="21" t="str">
        <f>IFERROR(VLOOKUP(July[[#This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21" t="str">
        <f>IFERROR(VLOOKUP(July[[#This Row],[Drug Name4]],'Data Options'!$R$1:$S$100,2,FALSE), " ")</f>
        <v xml:space="preserve"> </v>
      </c>
      <c r="AI40" s="32"/>
      <c r="AJ40" s="32"/>
      <c r="AK40" s="53"/>
      <c r="AL40" s="21" t="str">
        <f>IFERROR(VLOOKUP(July[[#This Row],[Drug Name5]],'Data Options'!$R$1:$S$100,2,FALSE), " ")</f>
        <v xml:space="preserve"> </v>
      </c>
      <c r="AM40" s="32"/>
      <c r="AN40" s="32"/>
      <c r="AO40" s="53"/>
      <c r="AP40" s="21" t="str">
        <f>IFERROR(VLOOKUP(July[[#This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21" t="str">
        <f>IFERROR(VLOOKUP(July[[#This Row],[Drug Name7]],'Data Options'!$R$1:$S$100,2,FALSE), " ")</f>
        <v xml:space="preserve"> </v>
      </c>
      <c r="AZ40" s="32"/>
      <c r="BA40" s="32"/>
      <c r="BB40" s="53"/>
      <c r="BC40" s="21" t="str">
        <f>IFERROR(VLOOKUP(July[[#This Row],[Drug Name8]],'Data Options'!$R$1:$S$100,2,FALSE), " ")</f>
        <v xml:space="preserve"> </v>
      </c>
      <c r="BD40" s="32"/>
      <c r="BE40" s="32"/>
      <c r="BF40" s="53"/>
      <c r="BG40" s="21" t="str">
        <f>IFERROR(VLOOKUP(July[[#This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21" t="str">
        <f>IFERROR(VLOOKUP(July[[#This Row],[Drug Name]],'Data Options'!$R$1:$S$100,2,FALSE), " ")</f>
        <v xml:space="preserve"> </v>
      </c>
      <c r="R41" s="32"/>
      <c r="S41" s="32"/>
      <c r="T41" s="53"/>
      <c r="U41" s="21" t="str">
        <f>IFERROR(VLOOKUP(July[[#This Row],[Drug Name2]],'Data Options'!$R$1:$S$100,2,FALSE), " ")</f>
        <v xml:space="preserve"> </v>
      </c>
      <c r="V41" s="32"/>
      <c r="W41" s="32"/>
      <c r="X41" s="53"/>
      <c r="Y41" s="21" t="str">
        <f>IFERROR(VLOOKUP(July[[#This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21" t="str">
        <f>IFERROR(VLOOKUP(July[[#This Row],[Drug Name4]],'Data Options'!$R$1:$S$100,2,FALSE), " ")</f>
        <v xml:space="preserve"> </v>
      </c>
      <c r="AI41" s="32"/>
      <c r="AJ41" s="32"/>
      <c r="AK41" s="53"/>
      <c r="AL41" s="21" t="str">
        <f>IFERROR(VLOOKUP(July[[#This Row],[Drug Name5]],'Data Options'!$R$1:$S$100,2,FALSE), " ")</f>
        <v xml:space="preserve"> </v>
      </c>
      <c r="AM41" s="32"/>
      <c r="AN41" s="32"/>
      <c r="AO41" s="53"/>
      <c r="AP41" s="21" t="str">
        <f>IFERROR(VLOOKUP(July[[#This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21" t="str">
        <f>IFERROR(VLOOKUP(July[[#This Row],[Drug Name7]],'Data Options'!$R$1:$S$100,2,FALSE), " ")</f>
        <v xml:space="preserve"> </v>
      </c>
      <c r="AZ41" s="32"/>
      <c r="BA41" s="32"/>
      <c r="BB41" s="53"/>
      <c r="BC41" s="21" t="str">
        <f>IFERROR(VLOOKUP(July[[#This Row],[Drug Name8]],'Data Options'!$R$1:$S$100,2,FALSE), " ")</f>
        <v xml:space="preserve"> </v>
      </c>
      <c r="BD41" s="32"/>
      <c r="BE41" s="32"/>
      <c r="BF41" s="53"/>
      <c r="BG41" s="21" t="str">
        <f>IFERROR(VLOOKUP(July[[#This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21" t="str">
        <f>IFERROR(VLOOKUP(July[[#This Row],[Drug Name]],'Data Options'!$R$1:$S$100,2,FALSE), " ")</f>
        <v xml:space="preserve"> </v>
      </c>
      <c r="R42" s="32"/>
      <c r="S42" s="32"/>
      <c r="T42" s="53"/>
      <c r="U42" s="21" t="str">
        <f>IFERROR(VLOOKUP(July[[#This Row],[Drug Name2]],'Data Options'!$R$1:$S$100,2,FALSE), " ")</f>
        <v xml:space="preserve"> </v>
      </c>
      <c r="V42" s="32"/>
      <c r="W42" s="32"/>
      <c r="X42" s="53"/>
      <c r="Y42" s="21" t="str">
        <f>IFERROR(VLOOKUP(July[[#This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21" t="str">
        <f>IFERROR(VLOOKUP(July[[#This Row],[Drug Name4]],'Data Options'!$R$1:$S$100,2,FALSE), " ")</f>
        <v xml:space="preserve"> </v>
      </c>
      <c r="AI42" s="32"/>
      <c r="AJ42" s="32"/>
      <c r="AK42" s="53"/>
      <c r="AL42" s="21" t="str">
        <f>IFERROR(VLOOKUP(July[[#This Row],[Drug Name5]],'Data Options'!$R$1:$S$100,2,FALSE), " ")</f>
        <v xml:space="preserve"> </v>
      </c>
      <c r="AM42" s="32"/>
      <c r="AN42" s="32"/>
      <c r="AO42" s="53"/>
      <c r="AP42" s="21" t="str">
        <f>IFERROR(VLOOKUP(July[[#This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21" t="str">
        <f>IFERROR(VLOOKUP(July[[#This Row],[Drug Name7]],'Data Options'!$R$1:$S$100,2,FALSE), " ")</f>
        <v xml:space="preserve"> </v>
      </c>
      <c r="AZ42" s="32"/>
      <c r="BA42" s="32"/>
      <c r="BB42" s="53"/>
      <c r="BC42" s="21" t="str">
        <f>IFERROR(VLOOKUP(July[[#This Row],[Drug Name8]],'Data Options'!$R$1:$S$100,2,FALSE), " ")</f>
        <v xml:space="preserve"> </v>
      </c>
      <c r="BD42" s="32"/>
      <c r="BE42" s="32"/>
      <c r="BF42" s="53"/>
      <c r="BG42" s="21" t="str">
        <f>IFERROR(VLOOKUP(July[[#This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21" t="str">
        <f>IFERROR(VLOOKUP(July[[#This Row],[Drug Name]],'Data Options'!$R$1:$S$100,2,FALSE), " ")</f>
        <v xml:space="preserve"> </v>
      </c>
      <c r="R43" s="32"/>
      <c r="S43" s="32"/>
      <c r="T43" s="53"/>
      <c r="U43" s="21" t="str">
        <f>IFERROR(VLOOKUP(July[[#This Row],[Drug Name2]],'Data Options'!$R$1:$S$100,2,FALSE), " ")</f>
        <v xml:space="preserve"> </v>
      </c>
      <c r="V43" s="32"/>
      <c r="W43" s="32"/>
      <c r="X43" s="53"/>
      <c r="Y43" s="21" t="str">
        <f>IFERROR(VLOOKUP(July[[#This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21" t="str">
        <f>IFERROR(VLOOKUP(July[[#This Row],[Drug Name4]],'Data Options'!$R$1:$S$100,2,FALSE), " ")</f>
        <v xml:space="preserve"> </v>
      </c>
      <c r="AI43" s="32"/>
      <c r="AJ43" s="32"/>
      <c r="AK43" s="53"/>
      <c r="AL43" s="21" t="str">
        <f>IFERROR(VLOOKUP(July[[#This Row],[Drug Name5]],'Data Options'!$R$1:$S$100,2,FALSE), " ")</f>
        <v xml:space="preserve"> </v>
      </c>
      <c r="AM43" s="32"/>
      <c r="AN43" s="32"/>
      <c r="AO43" s="53"/>
      <c r="AP43" s="21" t="str">
        <f>IFERROR(VLOOKUP(July[[#This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21" t="str">
        <f>IFERROR(VLOOKUP(July[[#This Row],[Drug Name7]],'Data Options'!$R$1:$S$100,2,FALSE), " ")</f>
        <v xml:space="preserve"> </v>
      </c>
      <c r="AZ43" s="32"/>
      <c r="BA43" s="32"/>
      <c r="BB43" s="53"/>
      <c r="BC43" s="21" t="str">
        <f>IFERROR(VLOOKUP(July[[#This Row],[Drug Name8]],'Data Options'!$R$1:$S$100,2,FALSE), " ")</f>
        <v xml:space="preserve"> </v>
      </c>
      <c r="BD43" s="32"/>
      <c r="BE43" s="32"/>
      <c r="BF43" s="53"/>
      <c r="BG43" s="21" t="str">
        <f>IFERROR(VLOOKUP(July[[#This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21" t="str">
        <f>IFERROR(VLOOKUP(July[[#This Row],[Drug Name]],'Data Options'!$R$1:$S$100,2,FALSE), " ")</f>
        <v xml:space="preserve"> </v>
      </c>
      <c r="R44" s="32"/>
      <c r="S44" s="32"/>
      <c r="T44" s="53"/>
      <c r="U44" s="21" t="str">
        <f>IFERROR(VLOOKUP(July[[#This Row],[Drug Name2]],'Data Options'!$R$1:$S$100,2,FALSE), " ")</f>
        <v xml:space="preserve"> </v>
      </c>
      <c r="V44" s="32"/>
      <c r="W44" s="32"/>
      <c r="X44" s="53"/>
      <c r="Y44" s="21" t="str">
        <f>IFERROR(VLOOKUP(July[[#This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21" t="str">
        <f>IFERROR(VLOOKUP(July[[#This Row],[Drug Name4]],'Data Options'!$R$1:$S$100,2,FALSE), " ")</f>
        <v xml:space="preserve"> </v>
      </c>
      <c r="AI44" s="32"/>
      <c r="AJ44" s="32"/>
      <c r="AK44" s="53"/>
      <c r="AL44" s="21" t="str">
        <f>IFERROR(VLOOKUP(July[[#This Row],[Drug Name5]],'Data Options'!$R$1:$S$100,2,FALSE), " ")</f>
        <v xml:space="preserve"> </v>
      </c>
      <c r="AM44" s="32"/>
      <c r="AN44" s="32"/>
      <c r="AO44" s="53"/>
      <c r="AP44" s="21" t="str">
        <f>IFERROR(VLOOKUP(July[[#This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21" t="str">
        <f>IFERROR(VLOOKUP(July[[#This Row],[Drug Name7]],'Data Options'!$R$1:$S$100,2,FALSE), " ")</f>
        <v xml:space="preserve"> </v>
      </c>
      <c r="AZ44" s="32"/>
      <c r="BA44" s="32"/>
      <c r="BB44" s="53"/>
      <c r="BC44" s="21" t="str">
        <f>IFERROR(VLOOKUP(July[[#This Row],[Drug Name8]],'Data Options'!$R$1:$S$100,2,FALSE), " ")</f>
        <v xml:space="preserve"> </v>
      </c>
      <c r="BD44" s="32"/>
      <c r="BE44" s="32"/>
      <c r="BF44" s="53"/>
      <c r="BG44" s="21" t="str">
        <f>IFERROR(VLOOKUP(July[[#This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21" t="str">
        <f>IFERROR(VLOOKUP(July[[#This Row],[Drug Name]],'Data Options'!$R$1:$S$100,2,FALSE), " ")</f>
        <v xml:space="preserve"> </v>
      </c>
      <c r="R45" s="32"/>
      <c r="S45" s="32"/>
      <c r="T45" s="53"/>
      <c r="U45" s="21" t="str">
        <f>IFERROR(VLOOKUP(July[[#This Row],[Drug Name2]],'Data Options'!$R$1:$S$100,2,FALSE), " ")</f>
        <v xml:space="preserve"> </v>
      </c>
      <c r="V45" s="32"/>
      <c r="W45" s="32"/>
      <c r="X45" s="53"/>
      <c r="Y45" s="21" t="str">
        <f>IFERROR(VLOOKUP(July[[#This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21" t="str">
        <f>IFERROR(VLOOKUP(July[[#This Row],[Drug Name4]],'Data Options'!$R$1:$S$100,2,FALSE), " ")</f>
        <v xml:space="preserve"> </v>
      </c>
      <c r="AI45" s="32"/>
      <c r="AJ45" s="32"/>
      <c r="AK45" s="53"/>
      <c r="AL45" s="21" t="str">
        <f>IFERROR(VLOOKUP(July[[#This Row],[Drug Name5]],'Data Options'!$R$1:$S$100,2,FALSE), " ")</f>
        <v xml:space="preserve"> </v>
      </c>
      <c r="AM45" s="32"/>
      <c r="AN45" s="32"/>
      <c r="AO45" s="53"/>
      <c r="AP45" s="21" t="str">
        <f>IFERROR(VLOOKUP(July[[#This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21" t="str">
        <f>IFERROR(VLOOKUP(July[[#This Row],[Drug Name7]],'Data Options'!$R$1:$S$100,2,FALSE), " ")</f>
        <v xml:space="preserve"> </v>
      </c>
      <c r="AZ45" s="32"/>
      <c r="BA45" s="32"/>
      <c r="BB45" s="53"/>
      <c r="BC45" s="21" t="str">
        <f>IFERROR(VLOOKUP(July[[#This Row],[Drug Name8]],'Data Options'!$R$1:$S$100,2,FALSE), " ")</f>
        <v xml:space="preserve"> </v>
      </c>
      <c r="BD45" s="32"/>
      <c r="BE45" s="32"/>
      <c r="BF45" s="53"/>
      <c r="BG45" s="21" t="str">
        <f>IFERROR(VLOOKUP(July[[#This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21" t="str">
        <f>IFERROR(VLOOKUP(July[[#This Row],[Drug Name]],'Data Options'!$R$1:$S$100,2,FALSE), " ")</f>
        <v xml:space="preserve"> </v>
      </c>
      <c r="R46" s="32"/>
      <c r="S46" s="32"/>
      <c r="T46" s="53"/>
      <c r="U46" s="21" t="str">
        <f>IFERROR(VLOOKUP(July[[#This Row],[Drug Name2]],'Data Options'!$R$1:$S$100,2,FALSE), " ")</f>
        <v xml:space="preserve"> </v>
      </c>
      <c r="V46" s="32"/>
      <c r="W46" s="32"/>
      <c r="X46" s="53"/>
      <c r="Y46" s="21" t="str">
        <f>IFERROR(VLOOKUP(July[[#This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21" t="str">
        <f>IFERROR(VLOOKUP(July[[#This Row],[Drug Name4]],'Data Options'!$R$1:$S$100,2,FALSE), " ")</f>
        <v xml:space="preserve"> </v>
      </c>
      <c r="AI46" s="32"/>
      <c r="AJ46" s="32"/>
      <c r="AK46" s="53"/>
      <c r="AL46" s="21" t="str">
        <f>IFERROR(VLOOKUP(July[[#This Row],[Drug Name5]],'Data Options'!$R$1:$S$100,2,FALSE), " ")</f>
        <v xml:space="preserve"> </v>
      </c>
      <c r="AM46" s="32"/>
      <c r="AN46" s="32"/>
      <c r="AO46" s="53"/>
      <c r="AP46" s="21" t="str">
        <f>IFERROR(VLOOKUP(July[[#This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21" t="str">
        <f>IFERROR(VLOOKUP(July[[#This Row],[Drug Name7]],'Data Options'!$R$1:$S$100,2,FALSE), " ")</f>
        <v xml:space="preserve"> </v>
      </c>
      <c r="AZ46" s="32"/>
      <c r="BA46" s="32"/>
      <c r="BB46" s="53"/>
      <c r="BC46" s="21" t="str">
        <f>IFERROR(VLOOKUP(July[[#This Row],[Drug Name8]],'Data Options'!$R$1:$S$100,2,FALSE), " ")</f>
        <v xml:space="preserve"> </v>
      </c>
      <c r="BD46" s="32"/>
      <c r="BE46" s="32"/>
      <c r="BF46" s="53"/>
      <c r="BG46" s="21" t="str">
        <f>IFERROR(VLOOKUP(July[[#This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21" t="str">
        <f>IFERROR(VLOOKUP(July[[#This Row],[Drug Name]],'Data Options'!$R$1:$S$100,2,FALSE), " ")</f>
        <v xml:space="preserve"> </v>
      </c>
      <c r="R47" s="32"/>
      <c r="S47" s="32"/>
      <c r="T47" s="53"/>
      <c r="U47" s="21" t="str">
        <f>IFERROR(VLOOKUP(July[[#This Row],[Drug Name2]],'Data Options'!$R$1:$S$100,2,FALSE), " ")</f>
        <v xml:space="preserve"> </v>
      </c>
      <c r="V47" s="32"/>
      <c r="W47" s="32"/>
      <c r="X47" s="53"/>
      <c r="Y47" s="21" t="str">
        <f>IFERROR(VLOOKUP(July[[#This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21" t="str">
        <f>IFERROR(VLOOKUP(July[[#This Row],[Drug Name4]],'Data Options'!$R$1:$S$100,2,FALSE), " ")</f>
        <v xml:space="preserve"> </v>
      </c>
      <c r="AI47" s="32"/>
      <c r="AJ47" s="32"/>
      <c r="AK47" s="53"/>
      <c r="AL47" s="21" t="str">
        <f>IFERROR(VLOOKUP(July[[#This Row],[Drug Name5]],'Data Options'!$R$1:$S$100,2,FALSE), " ")</f>
        <v xml:space="preserve"> </v>
      </c>
      <c r="AM47" s="32"/>
      <c r="AN47" s="32"/>
      <c r="AO47" s="53"/>
      <c r="AP47" s="21" t="str">
        <f>IFERROR(VLOOKUP(July[[#This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21" t="str">
        <f>IFERROR(VLOOKUP(July[[#This Row],[Drug Name7]],'Data Options'!$R$1:$S$100,2,FALSE), " ")</f>
        <v xml:space="preserve"> </v>
      </c>
      <c r="AZ47" s="32"/>
      <c r="BA47" s="32"/>
      <c r="BB47" s="53"/>
      <c r="BC47" s="21" t="str">
        <f>IFERROR(VLOOKUP(July[[#This Row],[Drug Name8]],'Data Options'!$R$1:$S$100,2,FALSE), " ")</f>
        <v xml:space="preserve"> </v>
      </c>
      <c r="BD47" s="32"/>
      <c r="BE47" s="32"/>
      <c r="BF47" s="53"/>
      <c r="BG47" s="21" t="str">
        <f>IFERROR(VLOOKUP(July[[#This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21" t="str">
        <f>IFERROR(VLOOKUP(July[[#This Row],[Drug Name]],'Data Options'!$R$1:$S$100,2,FALSE), " ")</f>
        <v xml:space="preserve"> </v>
      </c>
      <c r="R48" s="32"/>
      <c r="S48" s="32"/>
      <c r="T48" s="53"/>
      <c r="U48" s="21" t="str">
        <f>IFERROR(VLOOKUP(July[[#This Row],[Drug Name2]],'Data Options'!$R$1:$S$100,2,FALSE), " ")</f>
        <v xml:space="preserve"> </v>
      </c>
      <c r="V48" s="32"/>
      <c r="W48" s="32"/>
      <c r="X48" s="53"/>
      <c r="Y48" s="21" t="str">
        <f>IFERROR(VLOOKUP(July[[#This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21" t="str">
        <f>IFERROR(VLOOKUP(July[[#This Row],[Drug Name4]],'Data Options'!$R$1:$S$100,2,FALSE), " ")</f>
        <v xml:space="preserve"> </v>
      </c>
      <c r="AI48" s="32"/>
      <c r="AJ48" s="32"/>
      <c r="AK48" s="53"/>
      <c r="AL48" s="21" t="str">
        <f>IFERROR(VLOOKUP(July[[#This Row],[Drug Name5]],'Data Options'!$R$1:$S$100,2,FALSE), " ")</f>
        <v xml:space="preserve"> </v>
      </c>
      <c r="AM48" s="32"/>
      <c r="AN48" s="32"/>
      <c r="AO48" s="53"/>
      <c r="AP48" s="21" t="str">
        <f>IFERROR(VLOOKUP(July[[#This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21" t="str">
        <f>IFERROR(VLOOKUP(July[[#This Row],[Drug Name7]],'Data Options'!$R$1:$S$100,2,FALSE), " ")</f>
        <v xml:space="preserve"> </v>
      </c>
      <c r="AZ48" s="32"/>
      <c r="BA48" s="32"/>
      <c r="BB48" s="53"/>
      <c r="BC48" s="21" t="str">
        <f>IFERROR(VLOOKUP(July[[#This Row],[Drug Name8]],'Data Options'!$R$1:$S$100,2,FALSE), " ")</f>
        <v xml:space="preserve"> </v>
      </c>
      <c r="BD48" s="32"/>
      <c r="BE48" s="32"/>
      <c r="BF48" s="53"/>
      <c r="BG48" s="21" t="str">
        <f>IFERROR(VLOOKUP(July[[#This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21" t="str">
        <f>IFERROR(VLOOKUP(July[[#This Row],[Drug Name]],'Data Options'!$R$1:$S$100,2,FALSE), " ")</f>
        <v xml:space="preserve"> </v>
      </c>
      <c r="R49" s="32"/>
      <c r="S49" s="32"/>
      <c r="T49" s="53"/>
      <c r="U49" s="21" t="str">
        <f>IFERROR(VLOOKUP(July[[#This Row],[Drug Name2]],'Data Options'!$R$1:$S$100,2,FALSE), " ")</f>
        <v xml:space="preserve"> </v>
      </c>
      <c r="V49" s="32"/>
      <c r="W49" s="32"/>
      <c r="X49" s="53"/>
      <c r="Y49" s="21" t="str">
        <f>IFERROR(VLOOKUP(July[[#This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21" t="str">
        <f>IFERROR(VLOOKUP(July[[#This Row],[Drug Name4]],'Data Options'!$R$1:$S$100,2,FALSE), " ")</f>
        <v xml:space="preserve"> </v>
      </c>
      <c r="AI49" s="32"/>
      <c r="AJ49" s="32"/>
      <c r="AK49" s="53"/>
      <c r="AL49" s="21" t="str">
        <f>IFERROR(VLOOKUP(July[[#This Row],[Drug Name5]],'Data Options'!$R$1:$S$100,2,FALSE), " ")</f>
        <v xml:space="preserve"> </v>
      </c>
      <c r="AM49" s="32"/>
      <c r="AN49" s="32"/>
      <c r="AO49" s="53"/>
      <c r="AP49" s="21" t="str">
        <f>IFERROR(VLOOKUP(July[[#This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21" t="str">
        <f>IFERROR(VLOOKUP(July[[#This Row],[Drug Name7]],'Data Options'!$R$1:$S$100,2,FALSE), " ")</f>
        <v xml:space="preserve"> </v>
      </c>
      <c r="AZ49" s="32"/>
      <c r="BA49" s="32"/>
      <c r="BB49" s="53"/>
      <c r="BC49" s="21" t="str">
        <f>IFERROR(VLOOKUP(July[[#This Row],[Drug Name8]],'Data Options'!$R$1:$S$100,2,FALSE), " ")</f>
        <v xml:space="preserve"> </v>
      </c>
      <c r="BD49" s="32"/>
      <c r="BE49" s="32"/>
      <c r="BF49" s="53"/>
      <c r="BG49" s="21" t="str">
        <f>IFERROR(VLOOKUP(July[[#This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21" t="str">
        <f>IFERROR(VLOOKUP(July[[#This Row],[Drug Name]],'Data Options'!$R$1:$S$100,2,FALSE), " ")</f>
        <v xml:space="preserve"> </v>
      </c>
      <c r="R50" s="32"/>
      <c r="S50" s="32"/>
      <c r="T50" s="53"/>
      <c r="U50" s="21" t="str">
        <f>IFERROR(VLOOKUP(July[[#This Row],[Drug Name2]],'Data Options'!$R$1:$S$100,2,FALSE), " ")</f>
        <v xml:space="preserve"> </v>
      </c>
      <c r="V50" s="32"/>
      <c r="W50" s="32"/>
      <c r="X50" s="53"/>
      <c r="Y50" s="21" t="str">
        <f>IFERROR(VLOOKUP(July[[#This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21" t="str">
        <f>IFERROR(VLOOKUP(July[[#This Row],[Drug Name4]],'Data Options'!$R$1:$S$100,2,FALSE), " ")</f>
        <v xml:space="preserve"> </v>
      </c>
      <c r="AI50" s="32"/>
      <c r="AJ50" s="32"/>
      <c r="AK50" s="53"/>
      <c r="AL50" s="21" t="str">
        <f>IFERROR(VLOOKUP(July[[#This Row],[Drug Name5]],'Data Options'!$R$1:$S$100,2,FALSE), " ")</f>
        <v xml:space="preserve"> </v>
      </c>
      <c r="AM50" s="32"/>
      <c r="AN50" s="32"/>
      <c r="AO50" s="53"/>
      <c r="AP50" s="21" t="str">
        <f>IFERROR(VLOOKUP(July[[#This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21" t="str">
        <f>IFERROR(VLOOKUP(July[[#This Row],[Drug Name7]],'Data Options'!$R$1:$S$100,2,FALSE), " ")</f>
        <v xml:space="preserve"> </v>
      </c>
      <c r="AZ50" s="32"/>
      <c r="BA50" s="32"/>
      <c r="BB50" s="53"/>
      <c r="BC50" s="21" t="str">
        <f>IFERROR(VLOOKUP(July[[#This Row],[Drug Name8]],'Data Options'!$R$1:$S$100,2,FALSE), " ")</f>
        <v xml:space="preserve"> </v>
      </c>
      <c r="BD50" s="32"/>
      <c r="BE50" s="32"/>
      <c r="BF50" s="53"/>
      <c r="BG50" s="21" t="str">
        <f>IFERROR(VLOOKUP(July[[#This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21" t="str">
        <f>IFERROR(VLOOKUP(July[[#This Row],[Drug Name]],'Data Options'!$R$1:$S$100,2,FALSE), " ")</f>
        <v xml:space="preserve"> </v>
      </c>
      <c r="R51" s="32"/>
      <c r="S51" s="32"/>
      <c r="T51" s="53"/>
      <c r="U51" s="21" t="str">
        <f>IFERROR(VLOOKUP(July[[#This Row],[Drug Name2]],'Data Options'!$R$1:$S$100,2,FALSE), " ")</f>
        <v xml:space="preserve"> </v>
      </c>
      <c r="V51" s="32"/>
      <c r="W51" s="32"/>
      <c r="X51" s="53"/>
      <c r="Y51" s="21" t="str">
        <f>IFERROR(VLOOKUP(July[[#This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21" t="str">
        <f>IFERROR(VLOOKUP(July[[#This Row],[Drug Name4]],'Data Options'!$R$1:$S$100,2,FALSE), " ")</f>
        <v xml:space="preserve"> </v>
      </c>
      <c r="AI51" s="32"/>
      <c r="AJ51" s="32"/>
      <c r="AK51" s="53"/>
      <c r="AL51" s="21" t="str">
        <f>IFERROR(VLOOKUP(July[[#This Row],[Drug Name5]],'Data Options'!$R$1:$S$100,2,FALSE), " ")</f>
        <v xml:space="preserve"> </v>
      </c>
      <c r="AM51" s="32"/>
      <c r="AN51" s="32"/>
      <c r="AO51" s="53"/>
      <c r="AP51" s="21" t="str">
        <f>IFERROR(VLOOKUP(July[[#This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21" t="str">
        <f>IFERROR(VLOOKUP(July[[#This Row],[Drug Name7]],'Data Options'!$R$1:$S$100,2,FALSE), " ")</f>
        <v xml:space="preserve"> </v>
      </c>
      <c r="AZ51" s="32"/>
      <c r="BA51" s="32"/>
      <c r="BB51" s="53"/>
      <c r="BC51" s="21" t="str">
        <f>IFERROR(VLOOKUP(July[[#This Row],[Drug Name8]],'Data Options'!$R$1:$S$100,2,FALSE), " ")</f>
        <v xml:space="preserve"> </v>
      </c>
      <c r="BD51" s="32"/>
      <c r="BE51" s="32"/>
      <c r="BF51" s="53"/>
      <c r="BG51" s="21" t="str">
        <f>IFERROR(VLOOKUP(July[[#This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21" t="str">
        <f>IFERROR(VLOOKUP(July[[#This Row],[Drug Name]],'Data Options'!$R$1:$S$100,2,FALSE), " ")</f>
        <v xml:space="preserve"> </v>
      </c>
      <c r="R52" s="32"/>
      <c r="S52" s="32"/>
      <c r="T52" s="53"/>
      <c r="U52" s="21" t="str">
        <f>IFERROR(VLOOKUP(July[[#This Row],[Drug Name2]],'Data Options'!$R$1:$S$100,2,FALSE), " ")</f>
        <v xml:space="preserve"> </v>
      </c>
      <c r="V52" s="32"/>
      <c r="W52" s="32"/>
      <c r="X52" s="53"/>
      <c r="Y52" s="21" t="str">
        <f>IFERROR(VLOOKUP(July[[#This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21" t="str">
        <f>IFERROR(VLOOKUP(July[[#This Row],[Drug Name4]],'Data Options'!$R$1:$S$100,2,FALSE), " ")</f>
        <v xml:space="preserve"> </v>
      </c>
      <c r="AI52" s="32"/>
      <c r="AJ52" s="32"/>
      <c r="AK52" s="53"/>
      <c r="AL52" s="21" t="str">
        <f>IFERROR(VLOOKUP(July[[#This Row],[Drug Name5]],'Data Options'!$R$1:$S$100,2,FALSE), " ")</f>
        <v xml:space="preserve"> </v>
      </c>
      <c r="AM52" s="32"/>
      <c r="AN52" s="32"/>
      <c r="AO52" s="53"/>
      <c r="AP52" s="21" t="str">
        <f>IFERROR(VLOOKUP(July[[#This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21" t="str">
        <f>IFERROR(VLOOKUP(July[[#This Row],[Drug Name7]],'Data Options'!$R$1:$S$100,2,FALSE), " ")</f>
        <v xml:space="preserve"> </v>
      </c>
      <c r="AZ52" s="32"/>
      <c r="BA52" s="32"/>
      <c r="BB52" s="53"/>
      <c r="BC52" s="21" t="str">
        <f>IFERROR(VLOOKUP(July[[#This Row],[Drug Name8]],'Data Options'!$R$1:$S$100,2,FALSE), " ")</f>
        <v xml:space="preserve"> </v>
      </c>
      <c r="BD52" s="32"/>
      <c r="BE52" s="32"/>
      <c r="BF52" s="53"/>
      <c r="BG52" s="21" t="str">
        <f>IFERROR(VLOOKUP(July[[#This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21" t="str">
        <f>IFERROR(VLOOKUP(July[[#This Row],[Drug Name]],'Data Options'!$R$1:$S$100,2,FALSE), " ")</f>
        <v xml:space="preserve"> </v>
      </c>
      <c r="R53" s="32"/>
      <c r="S53" s="32"/>
      <c r="T53" s="53"/>
      <c r="U53" s="21" t="str">
        <f>IFERROR(VLOOKUP(July[[#This Row],[Drug Name2]],'Data Options'!$R$1:$S$100,2,FALSE), " ")</f>
        <v xml:space="preserve"> </v>
      </c>
      <c r="V53" s="32"/>
      <c r="W53" s="32"/>
      <c r="X53" s="53"/>
      <c r="Y53" s="21" t="str">
        <f>IFERROR(VLOOKUP(July[[#This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21" t="str">
        <f>IFERROR(VLOOKUP(July[[#This Row],[Drug Name4]],'Data Options'!$R$1:$S$100,2,FALSE), " ")</f>
        <v xml:space="preserve"> </v>
      </c>
      <c r="AI53" s="32"/>
      <c r="AJ53" s="32"/>
      <c r="AK53" s="53"/>
      <c r="AL53" s="21" t="str">
        <f>IFERROR(VLOOKUP(July[[#This Row],[Drug Name5]],'Data Options'!$R$1:$S$100,2,FALSE), " ")</f>
        <v xml:space="preserve"> </v>
      </c>
      <c r="AM53" s="32"/>
      <c r="AN53" s="32"/>
      <c r="AO53" s="53"/>
      <c r="AP53" s="21" t="str">
        <f>IFERROR(VLOOKUP(July[[#This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21" t="str">
        <f>IFERROR(VLOOKUP(July[[#This Row],[Drug Name7]],'Data Options'!$R$1:$S$100,2,FALSE), " ")</f>
        <v xml:space="preserve"> </v>
      </c>
      <c r="AZ53" s="32"/>
      <c r="BA53" s="32"/>
      <c r="BB53" s="53"/>
      <c r="BC53" s="21" t="str">
        <f>IFERROR(VLOOKUP(July[[#This Row],[Drug Name8]],'Data Options'!$R$1:$S$100,2,FALSE), " ")</f>
        <v xml:space="preserve"> </v>
      </c>
      <c r="BD53" s="32"/>
      <c r="BE53" s="32"/>
      <c r="BF53" s="53"/>
      <c r="BG53" s="21" t="str">
        <f>IFERROR(VLOOKUP(July[[#This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21" t="str">
        <f>IFERROR(VLOOKUP(July[[#This Row],[Drug Name]],'Data Options'!$R$1:$S$100,2,FALSE), " ")</f>
        <v xml:space="preserve"> </v>
      </c>
      <c r="R54" s="32"/>
      <c r="S54" s="32"/>
      <c r="T54" s="53"/>
      <c r="U54" s="21" t="str">
        <f>IFERROR(VLOOKUP(July[[#This Row],[Drug Name2]],'Data Options'!$R$1:$S$100,2,FALSE), " ")</f>
        <v xml:space="preserve"> </v>
      </c>
      <c r="V54" s="32"/>
      <c r="W54" s="32"/>
      <c r="X54" s="53"/>
      <c r="Y54" s="21" t="str">
        <f>IFERROR(VLOOKUP(July[[#This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21" t="str">
        <f>IFERROR(VLOOKUP(July[[#This Row],[Drug Name4]],'Data Options'!$R$1:$S$100,2,FALSE), " ")</f>
        <v xml:space="preserve"> </v>
      </c>
      <c r="AI54" s="32"/>
      <c r="AJ54" s="32"/>
      <c r="AK54" s="53"/>
      <c r="AL54" s="21" t="str">
        <f>IFERROR(VLOOKUP(July[[#This Row],[Drug Name5]],'Data Options'!$R$1:$S$100,2,FALSE), " ")</f>
        <v xml:space="preserve"> </v>
      </c>
      <c r="AM54" s="32"/>
      <c r="AN54" s="32"/>
      <c r="AO54" s="53"/>
      <c r="AP54" s="21" t="str">
        <f>IFERROR(VLOOKUP(July[[#This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21" t="str">
        <f>IFERROR(VLOOKUP(July[[#This Row],[Drug Name7]],'Data Options'!$R$1:$S$100,2,FALSE), " ")</f>
        <v xml:space="preserve"> </v>
      </c>
      <c r="AZ54" s="32"/>
      <c r="BA54" s="32"/>
      <c r="BB54" s="53"/>
      <c r="BC54" s="21" t="str">
        <f>IFERROR(VLOOKUP(July[[#This Row],[Drug Name8]],'Data Options'!$R$1:$S$100,2,FALSE), " ")</f>
        <v xml:space="preserve"> </v>
      </c>
      <c r="BD54" s="32"/>
      <c r="BE54" s="32"/>
      <c r="BF54" s="53"/>
      <c r="BG54" s="21" t="str">
        <f>IFERROR(VLOOKUP(July[[#This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21" t="str">
        <f>IFERROR(VLOOKUP(July[[#This Row],[Drug Name]],'Data Options'!$R$1:$S$100,2,FALSE), " ")</f>
        <v xml:space="preserve"> </v>
      </c>
      <c r="R55" s="32"/>
      <c r="S55" s="32"/>
      <c r="T55" s="53"/>
      <c r="U55" s="21" t="str">
        <f>IFERROR(VLOOKUP(July[[#This Row],[Drug Name2]],'Data Options'!$R$1:$S$100,2,FALSE), " ")</f>
        <v xml:space="preserve"> </v>
      </c>
      <c r="V55" s="32"/>
      <c r="W55" s="32"/>
      <c r="X55" s="53"/>
      <c r="Y55" s="21" t="str">
        <f>IFERROR(VLOOKUP(July[[#This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21" t="str">
        <f>IFERROR(VLOOKUP(July[[#This Row],[Drug Name4]],'Data Options'!$R$1:$S$100,2,FALSE), " ")</f>
        <v xml:space="preserve"> </v>
      </c>
      <c r="AI55" s="32"/>
      <c r="AJ55" s="32"/>
      <c r="AK55" s="53"/>
      <c r="AL55" s="21" t="str">
        <f>IFERROR(VLOOKUP(July[[#This Row],[Drug Name5]],'Data Options'!$R$1:$S$100,2,FALSE), " ")</f>
        <v xml:space="preserve"> </v>
      </c>
      <c r="AM55" s="32"/>
      <c r="AN55" s="32"/>
      <c r="AO55" s="53"/>
      <c r="AP55" s="21" t="str">
        <f>IFERROR(VLOOKUP(July[[#This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21" t="str">
        <f>IFERROR(VLOOKUP(July[[#This Row],[Drug Name7]],'Data Options'!$R$1:$S$100,2,FALSE), " ")</f>
        <v xml:space="preserve"> </v>
      </c>
      <c r="AZ55" s="32"/>
      <c r="BA55" s="32"/>
      <c r="BB55" s="53"/>
      <c r="BC55" s="21" t="str">
        <f>IFERROR(VLOOKUP(July[[#This Row],[Drug Name8]],'Data Options'!$R$1:$S$100,2,FALSE), " ")</f>
        <v xml:space="preserve"> </v>
      </c>
      <c r="BD55" s="32"/>
      <c r="BE55" s="32"/>
      <c r="BF55" s="53"/>
      <c r="BG55" s="21" t="str">
        <f>IFERROR(VLOOKUP(July[[#This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21" t="str">
        <f>IFERROR(VLOOKUP(July[[#This Row],[Drug Name]],'Data Options'!$R$1:$S$100,2,FALSE), " ")</f>
        <v xml:space="preserve"> </v>
      </c>
      <c r="R56" s="32"/>
      <c r="S56" s="32"/>
      <c r="T56" s="53"/>
      <c r="U56" s="21" t="str">
        <f>IFERROR(VLOOKUP(July[[#This Row],[Drug Name2]],'Data Options'!$R$1:$S$100,2,FALSE), " ")</f>
        <v xml:space="preserve"> </v>
      </c>
      <c r="V56" s="32"/>
      <c r="W56" s="32"/>
      <c r="X56" s="53"/>
      <c r="Y56" s="21" t="str">
        <f>IFERROR(VLOOKUP(July[[#This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21" t="str">
        <f>IFERROR(VLOOKUP(July[[#This Row],[Drug Name4]],'Data Options'!$R$1:$S$100,2,FALSE), " ")</f>
        <v xml:space="preserve"> </v>
      </c>
      <c r="AI56" s="32"/>
      <c r="AJ56" s="32"/>
      <c r="AK56" s="53"/>
      <c r="AL56" s="21" t="str">
        <f>IFERROR(VLOOKUP(July[[#This Row],[Drug Name5]],'Data Options'!$R$1:$S$100,2,FALSE), " ")</f>
        <v xml:space="preserve"> </v>
      </c>
      <c r="AM56" s="32"/>
      <c r="AN56" s="32"/>
      <c r="AO56" s="53"/>
      <c r="AP56" s="21" t="str">
        <f>IFERROR(VLOOKUP(July[[#This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21" t="str">
        <f>IFERROR(VLOOKUP(July[[#This Row],[Drug Name7]],'Data Options'!$R$1:$S$100,2,FALSE), " ")</f>
        <v xml:space="preserve"> </v>
      </c>
      <c r="AZ56" s="32"/>
      <c r="BA56" s="32"/>
      <c r="BB56" s="53"/>
      <c r="BC56" s="21" t="str">
        <f>IFERROR(VLOOKUP(July[[#This Row],[Drug Name8]],'Data Options'!$R$1:$S$100,2,FALSE), " ")</f>
        <v xml:space="preserve"> </v>
      </c>
      <c r="BD56" s="32"/>
      <c r="BE56" s="32"/>
      <c r="BF56" s="53"/>
      <c r="BG56" s="21" t="str">
        <f>IFERROR(VLOOKUP(July[[#This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21" t="str">
        <f>IFERROR(VLOOKUP(July[[#This Row],[Drug Name]],'Data Options'!$R$1:$S$100,2,FALSE), " ")</f>
        <v xml:space="preserve"> </v>
      </c>
      <c r="R57" s="32"/>
      <c r="S57" s="32"/>
      <c r="T57" s="53"/>
      <c r="U57" s="21" t="str">
        <f>IFERROR(VLOOKUP(July[[#This Row],[Drug Name2]],'Data Options'!$R$1:$S$100,2,FALSE), " ")</f>
        <v xml:space="preserve"> </v>
      </c>
      <c r="V57" s="32"/>
      <c r="W57" s="32"/>
      <c r="X57" s="53"/>
      <c r="Y57" s="21" t="str">
        <f>IFERROR(VLOOKUP(July[[#This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21" t="str">
        <f>IFERROR(VLOOKUP(July[[#This Row],[Drug Name4]],'Data Options'!$R$1:$S$100,2,FALSE), " ")</f>
        <v xml:space="preserve"> </v>
      </c>
      <c r="AI57" s="32"/>
      <c r="AJ57" s="32"/>
      <c r="AK57" s="53"/>
      <c r="AL57" s="21" t="str">
        <f>IFERROR(VLOOKUP(July[[#This Row],[Drug Name5]],'Data Options'!$R$1:$S$100,2,FALSE), " ")</f>
        <v xml:space="preserve"> </v>
      </c>
      <c r="AM57" s="32"/>
      <c r="AN57" s="32"/>
      <c r="AO57" s="53"/>
      <c r="AP57" s="21" t="str">
        <f>IFERROR(VLOOKUP(July[[#This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21" t="str">
        <f>IFERROR(VLOOKUP(July[[#This Row],[Drug Name7]],'Data Options'!$R$1:$S$100,2,FALSE), " ")</f>
        <v xml:space="preserve"> </v>
      </c>
      <c r="AZ57" s="32"/>
      <c r="BA57" s="32"/>
      <c r="BB57" s="53"/>
      <c r="BC57" s="21" t="str">
        <f>IFERROR(VLOOKUP(July[[#This Row],[Drug Name8]],'Data Options'!$R$1:$S$100,2,FALSE), " ")</f>
        <v xml:space="preserve"> </v>
      </c>
      <c r="BD57" s="32"/>
      <c r="BE57" s="32"/>
      <c r="BF57" s="53"/>
      <c r="BG57" s="21" t="str">
        <f>IFERROR(VLOOKUP(July[[#This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21" t="str">
        <f>IFERROR(VLOOKUP(July[[#This Row],[Drug Name]],'Data Options'!$R$1:$S$100,2,FALSE), " ")</f>
        <v xml:space="preserve"> </v>
      </c>
      <c r="R58" s="32"/>
      <c r="S58" s="32"/>
      <c r="T58" s="53"/>
      <c r="U58" s="21" t="str">
        <f>IFERROR(VLOOKUP(July[[#This Row],[Drug Name2]],'Data Options'!$R$1:$S$100,2,FALSE), " ")</f>
        <v xml:space="preserve"> </v>
      </c>
      <c r="V58" s="32"/>
      <c r="W58" s="32"/>
      <c r="X58" s="53"/>
      <c r="Y58" s="21" t="str">
        <f>IFERROR(VLOOKUP(July[[#This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21" t="str">
        <f>IFERROR(VLOOKUP(July[[#This Row],[Drug Name4]],'Data Options'!$R$1:$S$100,2,FALSE), " ")</f>
        <v xml:space="preserve"> </v>
      </c>
      <c r="AI58" s="32"/>
      <c r="AJ58" s="32"/>
      <c r="AK58" s="53"/>
      <c r="AL58" s="21" t="str">
        <f>IFERROR(VLOOKUP(July[[#This Row],[Drug Name5]],'Data Options'!$R$1:$S$100,2,FALSE), " ")</f>
        <v xml:space="preserve"> </v>
      </c>
      <c r="AM58" s="32"/>
      <c r="AN58" s="32"/>
      <c r="AO58" s="53"/>
      <c r="AP58" s="21" t="str">
        <f>IFERROR(VLOOKUP(July[[#This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21" t="str">
        <f>IFERROR(VLOOKUP(July[[#This Row],[Drug Name7]],'Data Options'!$R$1:$S$100,2,FALSE), " ")</f>
        <v xml:space="preserve"> </v>
      </c>
      <c r="AZ58" s="32"/>
      <c r="BA58" s="32"/>
      <c r="BB58" s="53"/>
      <c r="BC58" s="21" t="str">
        <f>IFERROR(VLOOKUP(July[[#This Row],[Drug Name8]],'Data Options'!$R$1:$S$100,2,FALSE), " ")</f>
        <v xml:space="preserve"> </v>
      </c>
      <c r="BD58" s="32"/>
      <c r="BE58" s="32"/>
      <c r="BF58" s="53"/>
      <c r="BG58" s="21" t="str">
        <f>IFERROR(VLOOKUP(July[[#This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21" t="str">
        <f>IFERROR(VLOOKUP(July[[#This Row],[Drug Name]],'Data Options'!$R$1:$S$100,2,FALSE), " ")</f>
        <v xml:space="preserve"> </v>
      </c>
      <c r="R59" s="32"/>
      <c r="S59" s="32"/>
      <c r="T59" s="53"/>
      <c r="U59" s="21" t="str">
        <f>IFERROR(VLOOKUP(July[[#This Row],[Drug Name2]],'Data Options'!$R$1:$S$100,2,FALSE), " ")</f>
        <v xml:space="preserve"> </v>
      </c>
      <c r="V59" s="32"/>
      <c r="W59" s="32"/>
      <c r="X59" s="53"/>
      <c r="Y59" s="21" t="str">
        <f>IFERROR(VLOOKUP(July[[#This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21" t="str">
        <f>IFERROR(VLOOKUP(July[[#This Row],[Drug Name4]],'Data Options'!$R$1:$S$100,2,FALSE), " ")</f>
        <v xml:space="preserve"> </v>
      </c>
      <c r="AI59" s="32"/>
      <c r="AJ59" s="32"/>
      <c r="AK59" s="53"/>
      <c r="AL59" s="21" t="str">
        <f>IFERROR(VLOOKUP(July[[#This Row],[Drug Name5]],'Data Options'!$R$1:$S$100,2,FALSE), " ")</f>
        <v xml:space="preserve"> </v>
      </c>
      <c r="AM59" s="32"/>
      <c r="AN59" s="32"/>
      <c r="AO59" s="53"/>
      <c r="AP59" s="21" t="str">
        <f>IFERROR(VLOOKUP(July[[#This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21" t="str">
        <f>IFERROR(VLOOKUP(July[[#This Row],[Drug Name7]],'Data Options'!$R$1:$S$100,2,FALSE), " ")</f>
        <v xml:space="preserve"> </v>
      </c>
      <c r="AZ59" s="32"/>
      <c r="BA59" s="32"/>
      <c r="BB59" s="53"/>
      <c r="BC59" s="21" t="str">
        <f>IFERROR(VLOOKUP(July[[#This Row],[Drug Name8]],'Data Options'!$R$1:$S$100,2,FALSE), " ")</f>
        <v xml:space="preserve"> </v>
      </c>
      <c r="BD59" s="32"/>
      <c r="BE59" s="32"/>
      <c r="BF59" s="53"/>
      <c r="BG59" s="21" t="str">
        <f>IFERROR(VLOOKUP(July[[#This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21" t="str">
        <f>IFERROR(VLOOKUP(July[[#This Row],[Drug Name]],'Data Options'!$R$1:$S$100,2,FALSE), " ")</f>
        <v xml:space="preserve"> </v>
      </c>
      <c r="R60" s="32"/>
      <c r="S60" s="32"/>
      <c r="T60" s="53"/>
      <c r="U60" s="21" t="str">
        <f>IFERROR(VLOOKUP(July[[#This Row],[Drug Name2]],'Data Options'!$R$1:$S$100,2,FALSE), " ")</f>
        <v xml:space="preserve"> </v>
      </c>
      <c r="V60" s="32"/>
      <c r="W60" s="32"/>
      <c r="X60" s="53"/>
      <c r="Y60" s="21" t="str">
        <f>IFERROR(VLOOKUP(July[[#This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21" t="str">
        <f>IFERROR(VLOOKUP(July[[#This Row],[Drug Name4]],'Data Options'!$R$1:$S$100,2,FALSE), " ")</f>
        <v xml:space="preserve"> </v>
      </c>
      <c r="AI60" s="32"/>
      <c r="AJ60" s="32"/>
      <c r="AK60" s="53"/>
      <c r="AL60" s="21" t="str">
        <f>IFERROR(VLOOKUP(July[[#This Row],[Drug Name5]],'Data Options'!$R$1:$S$100,2,FALSE), " ")</f>
        <v xml:space="preserve"> </v>
      </c>
      <c r="AM60" s="32"/>
      <c r="AN60" s="32"/>
      <c r="AO60" s="53"/>
      <c r="AP60" s="21" t="str">
        <f>IFERROR(VLOOKUP(July[[#This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21" t="str">
        <f>IFERROR(VLOOKUP(July[[#This Row],[Drug Name7]],'Data Options'!$R$1:$S$100,2,FALSE), " ")</f>
        <v xml:space="preserve"> </v>
      </c>
      <c r="AZ60" s="32"/>
      <c r="BA60" s="32"/>
      <c r="BB60" s="53"/>
      <c r="BC60" s="21" t="str">
        <f>IFERROR(VLOOKUP(July[[#This Row],[Drug Name8]],'Data Options'!$R$1:$S$100,2,FALSE), " ")</f>
        <v xml:space="preserve"> </v>
      </c>
      <c r="BD60" s="32"/>
      <c r="BE60" s="32"/>
      <c r="BF60" s="53"/>
      <c r="BG60" s="21" t="str">
        <f>IFERROR(VLOOKUP(July[[#This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21" t="str">
        <f>IFERROR(VLOOKUP(July[[#This Row],[Drug Name]],'Data Options'!$R$1:$S$100,2,FALSE), " ")</f>
        <v xml:space="preserve"> </v>
      </c>
      <c r="R61" s="32"/>
      <c r="S61" s="32"/>
      <c r="T61" s="53"/>
      <c r="U61" s="21" t="str">
        <f>IFERROR(VLOOKUP(July[[#This Row],[Drug Name2]],'Data Options'!$R$1:$S$100,2,FALSE), " ")</f>
        <v xml:space="preserve"> </v>
      </c>
      <c r="V61" s="32"/>
      <c r="W61" s="32"/>
      <c r="X61" s="53"/>
      <c r="Y61" s="21" t="str">
        <f>IFERROR(VLOOKUP(July[[#This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21" t="str">
        <f>IFERROR(VLOOKUP(July[[#This Row],[Drug Name4]],'Data Options'!$R$1:$S$100,2,FALSE), " ")</f>
        <v xml:space="preserve"> </v>
      </c>
      <c r="AI61" s="32"/>
      <c r="AJ61" s="32"/>
      <c r="AK61" s="53"/>
      <c r="AL61" s="21" t="str">
        <f>IFERROR(VLOOKUP(July[[#This Row],[Drug Name5]],'Data Options'!$R$1:$S$100,2,FALSE), " ")</f>
        <v xml:space="preserve"> </v>
      </c>
      <c r="AM61" s="32"/>
      <c r="AN61" s="32"/>
      <c r="AO61" s="53"/>
      <c r="AP61" s="21" t="str">
        <f>IFERROR(VLOOKUP(July[[#This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21" t="str">
        <f>IFERROR(VLOOKUP(July[[#This Row],[Drug Name7]],'Data Options'!$R$1:$S$100,2,FALSE), " ")</f>
        <v xml:space="preserve"> </v>
      </c>
      <c r="AZ61" s="32"/>
      <c r="BA61" s="32"/>
      <c r="BB61" s="53"/>
      <c r="BC61" s="21" t="str">
        <f>IFERROR(VLOOKUP(July[[#This Row],[Drug Name8]],'Data Options'!$R$1:$S$100,2,FALSE), " ")</f>
        <v xml:space="preserve"> </v>
      </c>
      <c r="BD61" s="32"/>
      <c r="BE61" s="32"/>
      <c r="BF61" s="53"/>
      <c r="BG61" s="21" t="str">
        <f>IFERROR(VLOOKUP(July[[#This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21" t="str">
        <f>IFERROR(VLOOKUP(July[[#This Row],[Drug Name]],'Data Options'!$R$1:$S$100,2,FALSE), " ")</f>
        <v xml:space="preserve"> </v>
      </c>
      <c r="R62" s="32"/>
      <c r="S62" s="32"/>
      <c r="T62" s="53"/>
      <c r="U62" s="21" t="str">
        <f>IFERROR(VLOOKUP(July[[#This Row],[Drug Name2]],'Data Options'!$R$1:$S$100,2,FALSE), " ")</f>
        <v xml:space="preserve"> </v>
      </c>
      <c r="V62" s="32"/>
      <c r="W62" s="32"/>
      <c r="X62" s="53"/>
      <c r="Y62" s="21" t="str">
        <f>IFERROR(VLOOKUP(July[[#This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21" t="str">
        <f>IFERROR(VLOOKUP(July[[#This Row],[Drug Name4]],'Data Options'!$R$1:$S$100,2,FALSE), " ")</f>
        <v xml:space="preserve"> </v>
      </c>
      <c r="AI62" s="32"/>
      <c r="AJ62" s="32"/>
      <c r="AK62" s="53"/>
      <c r="AL62" s="21" t="str">
        <f>IFERROR(VLOOKUP(July[[#This Row],[Drug Name5]],'Data Options'!$R$1:$S$100,2,FALSE), " ")</f>
        <v xml:space="preserve"> </v>
      </c>
      <c r="AM62" s="32"/>
      <c r="AN62" s="32"/>
      <c r="AO62" s="53"/>
      <c r="AP62" s="21" t="str">
        <f>IFERROR(VLOOKUP(July[[#This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21" t="str">
        <f>IFERROR(VLOOKUP(July[[#This Row],[Drug Name7]],'Data Options'!$R$1:$S$100,2,FALSE), " ")</f>
        <v xml:space="preserve"> </v>
      </c>
      <c r="AZ62" s="32"/>
      <c r="BA62" s="32"/>
      <c r="BB62" s="53"/>
      <c r="BC62" s="21" t="str">
        <f>IFERROR(VLOOKUP(July[[#This Row],[Drug Name8]],'Data Options'!$R$1:$S$100,2,FALSE), " ")</f>
        <v xml:space="preserve"> </v>
      </c>
      <c r="BD62" s="32"/>
      <c r="BE62" s="32"/>
      <c r="BF62" s="53"/>
      <c r="BG62" s="21" t="str">
        <f>IFERROR(VLOOKUP(July[[#This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21" t="str">
        <f>IFERROR(VLOOKUP(July[[#This Row],[Drug Name]],'Data Options'!$R$1:$S$100,2,FALSE), " ")</f>
        <v xml:space="preserve"> </v>
      </c>
      <c r="R63" s="32"/>
      <c r="S63" s="32"/>
      <c r="T63" s="53"/>
      <c r="U63" s="21" t="str">
        <f>IFERROR(VLOOKUP(July[[#This Row],[Drug Name2]],'Data Options'!$R$1:$S$100,2,FALSE), " ")</f>
        <v xml:space="preserve"> </v>
      </c>
      <c r="V63" s="32"/>
      <c r="W63" s="32"/>
      <c r="X63" s="53"/>
      <c r="Y63" s="21" t="str">
        <f>IFERROR(VLOOKUP(July[[#This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21" t="str">
        <f>IFERROR(VLOOKUP(July[[#This Row],[Drug Name4]],'Data Options'!$R$1:$S$100,2,FALSE), " ")</f>
        <v xml:space="preserve"> </v>
      </c>
      <c r="AI63" s="32"/>
      <c r="AJ63" s="32"/>
      <c r="AK63" s="53"/>
      <c r="AL63" s="21" t="str">
        <f>IFERROR(VLOOKUP(July[[#This Row],[Drug Name5]],'Data Options'!$R$1:$S$100,2,FALSE), " ")</f>
        <v xml:space="preserve"> </v>
      </c>
      <c r="AM63" s="32"/>
      <c r="AN63" s="32"/>
      <c r="AO63" s="53"/>
      <c r="AP63" s="21" t="str">
        <f>IFERROR(VLOOKUP(July[[#This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21" t="str">
        <f>IFERROR(VLOOKUP(July[[#This Row],[Drug Name7]],'Data Options'!$R$1:$S$100,2,FALSE), " ")</f>
        <v xml:space="preserve"> </v>
      </c>
      <c r="AZ63" s="32"/>
      <c r="BA63" s="32"/>
      <c r="BB63" s="53"/>
      <c r="BC63" s="21" t="str">
        <f>IFERROR(VLOOKUP(July[[#This Row],[Drug Name8]],'Data Options'!$R$1:$S$100,2,FALSE), " ")</f>
        <v xml:space="preserve"> </v>
      </c>
      <c r="BD63" s="32"/>
      <c r="BE63" s="32"/>
      <c r="BF63" s="53"/>
      <c r="BG63" s="21" t="str">
        <f>IFERROR(VLOOKUP(July[[#This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21" t="str">
        <f>IFERROR(VLOOKUP(July[[#This Row],[Drug Name]],'Data Options'!$R$1:$S$100,2,FALSE), " ")</f>
        <v xml:space="preserve"> </v>
      </c>
      <c r="R64" s="32"/>
      <c r="S64" s="32"/>
      <c r="T64" s="53"/>
      <c r="U64" s="21" t="str">
        <f>IFERROR(VLOOKUP(July[[#This Row],[Drug Name2]],'Data Options'!$R$1:$S$100,2,FALSE), " ")</f>
        <v xml:space="preserve"> </v>
      </c>
      <c r="V64" s="32"/>
      <c r="W64" s="32"/>
      <c r="X64" s="53"/>
      <c r="Y64" s="21" t="str">
        <f>IFERROR(VLOOKUP(July[[#This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21" t="str">
        <f>IFERROR(VLOOKUP(July[[#This Row],[Drug Name4]],'Data Options'!$R$1:$S$100,2,FALSE), " ")</f>
        <v xml:space="preserve"> </v>
      </c>
      <c r="AI64" s="32"/>
      <c r="AJ64" s="32"/>
      <c r="AK64" s="53"/>
      <c r="AL64" s="21" t="str">
        <f>IFERROR(VLOOKUP(July[[#This Row],[Drug Name5]],'Data Options'!$R$1:$S$100,2,FALSE), " ")</f>
        <v xml:space="preserve"> </v>
      </c>
      <c r="AM64" s="32"/>
      <c r="AN64" s="32"/>
      <c r="AO64" s="53"/>
      <c r="AP64" s="21" t="str">
        <f>IFERROR(VLOOKUP(July[[#This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21" t="str">
        <f>IFERROR(VLOOKUP(July[[#This Row],[Drug Name7]],'Data Options'!$R$1:$S$100,2,FALSE), " ")</f>
        <v xml:space="preserve"> </v>
      </c>
      <c r="AZ64" s="32"/>
      <c r="BA64" s="32"/>
      <c r="BB64" s="53"/>
      <c r="BC64" s="21" t="str">
        <f>IFERROR(VLOOKUP(July[[#This Row],[Drug Name8]],'Data Options'!$R$1:$S$100,2,FALSE), " ")</f>
        <v xml:space="preserve"> </v>
      </c>
      <c r="BD64" s="32"/>
      <c r="BE64" s="32"/>
      <c r="BF64" s="53"/>
      <c r="BG64" s="21" t="str">
        <f>IFERROR(VLOOKUP(July[[#This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21" t="str">
        <f>IFERROR(VLOOKUP(July[[#This Row],[Drug Name]],'Data Options'!$R$1:$S$100,2,FALSE), " ")</f>
        <v xml:space="preserve"> </v>
      </c>
      <c r="R65" s="32"/>
      <c r="S65" s="32"/>
      <c r="T65" s="53"/>
      <c r="U65" s="21" t="str">
        <f>IFERROR(VLOOKUP(July[[#This Row],[Drug Name2]],'Data Options'!$R$1:$S$100,2,FALSE), " ")</f>
        <v xml:space="preserve"> </v>
      </c>
      <c r="V65" s="32"/>
      <c r="W65" s="32"/>
      <c r="X65" s="53"/>
      <c r="Y65" s="21" t="str">
        <f>IFERROR(VLOOKUP(July[[#This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21" t="str">
        <f>IFERROR(VLOOKUP(July[[#This Row],[Drug Name4]],'Data Options'!$R$1:$S$100,2,FALSE), " ")</f>
        <v xml:space="preserve"> </v>
      </c>
      <c r="AI65" s="32"/>
      <c r="AJ65" s="32"/>
      <c r="AK65" s="53"/>
      <c r="AL65" s="21" t="str">
        <f>IFERROR(VLOOKUP(July[[#This Row],[Drug Name5]],'Data Options'!$R$1:$S$100,2,FALSE), " ")</f>
        <v xml:space="preserve"> </v>
      </c>
      <c r="AM65" s="32"/>
      <c r="AN65" s="32"/>
      <c r="AO65" s="53"/>
      <c r="AP65" s="21" t="str">
        <f>IFERROR(VLOOKUP(July[[#This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21" t="str">
        <f>IFERROR(VLOOKUP(July[[#This Row],[Drug Name7]],'Data Options'!$R$1:$S$100,2,FALSE), " ")</f>
        <v xml:space="preserve"> </v>
      </c>
      <c r="AZ65" s="32"/>
      <c r="BA65" s="32"/>
      <c r="BB65" s="53"/>
      <c r="BC65" s="21" t="str">
        <f>IFERROR(VLOOKUP(July[[#This Row],[Drug Name8]],'Data Options'!$R$1:$S$100,2,FALSE), " ")</f>
        <v xml:space="preserve"> </v>
      </c>
      <c r="BD65" s="32"/>
      <c r="BE65" s="32"/>
      <c r="BF65" s="53"/>
      <c r="BG65" s="21" t="str">
        <f>IFERROR(VLOOKUP(July[[#This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21" t="str">
        <f>IFERROR(VLOOKUP(July[[#This Row],[Drug Name]],'Data Options'!$R$1:$S$100,2,FALSE), " ")</f>
        <v xml:space="preserve"> </v>
      </c>
      <c r="R66" s="32"/>
      <c r="S66" s="32"/>
      <c r="T66" s="53"/>
      <c r="U66" s="21" t="str">
        <f>IFERROR(VLOOKUP(July[[#This Row],[Drug Name2]],'Data Options'!$R$1:$S$100,2,FALSE), " ")</f>
        <v xml:space="preserve"> </v>
      </c>
      <c r="V66" s="32"/>
      <c r="W66" s="32"/>
      <c r="X66" s="53"/>
      <c r="Y66" s="21" t="str">
        <f>IFERROR(VLOOKUP(July[[#This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21" t="str">
        <f>IFERROR(VLOOKUP(July[[#This Row],[Drug Name4]],'Data Options'!$R$1:$S$100,2,FALSE), " ")</f>
        <v xml:space="preserve"> </v>
      </c>
      <c r="AI66" s="32"/>
      <c r="AJ66" s="32"/>
      <c r="AK66" s="53"/>
      <c r="AL66" s="21" t="str">
        <f>IFERROR(VLOOKUP(July[[#This Row],[Drug Name5]],'Data Options'!$R$1:$S$100,2,FALSE), " ")</f>
        <v xml:space="preserve"> </v>
      </c>
      <c r="AM66" s="32"/>
      <c r="AN66" s="32"/>
      <c r="AO66" s="53"/>
      <c r="AP66" s="21" t="str">
        <f>IFERROR(VLOOKUP(July[[#This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21" t="str">
        <f>IFERROR(VLOOKUP(July[[#This Row],[Drug Name7]],'Data Options'!$R$1:$S$100,2,FALSE), " ")</f>
        <v xml:space="preserve"> </v>
      </c>
      <c r="AZ66" s="32"/>
      <c r="BA66" s="32"/>
      <c r="BB66" s="53"/>
      <c r="BC66" s="21" t="str">
        <f>IFERROR(VLOOKUP(July[[#This Row],[Drug Name8]],'Data Options'!$R$1:$S$100,2,FALSE), " ")</f>
        <v xml:space="preserve"> </v>
      </c>
      <c r="BD66" s="32"/>
      <c r="BE66" s="32"/>
      <c r="BF66" s="53"/>
      <c r="BG66" s="21" t="str">
        <f>IFERROR(VLOOKUP(July[[#This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21" t="str">
        <f>IFERROR(VLOOKUP(July[[#This Row],[Drug Name]],'Data Options'!$R$1:$S$100,2,FALSE), " ")</f>
        <v xml:space="preserve"> </v>
      </c>
      <c r="R67" s="32"/>
      <c r="S67" s="32"/>
      <c r="T67" s="53"/>
      <c r="U67" s="21" t="str">
        <f>IFERROR(VLOOKUP(July[[#This Row],[Drug Name2]],'Data Options'!$R$1:$S$100,2,FALSE), " ")</f>
        <v xml:space="preserve"> </v>
      </c>
      <c r="V67" s="32"/>
      <c r="W67" s="32"/>
      <c r="X67" s="53"/>
      <c r="Y67" s="21" t="str">
        <f>IFERROR(VLOOKUP(July[[#This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21" t="str">
        <f>IFERROR(VLOOKUP(July[[#This Row],[Drug Name4]],'Data Options'!$R$1:$S$100,2,FALSE), " ")</f>
        <v xml:space="preserve"> </v>
      </c>
      <c r="AI67" s="32"/>
      <c r="AJ67" s="32"/>
      <c r="AK67" s="53"/>
      <c r="AL67" s="21" t="str">
        <f>IFERROR(VLOOKUP(July[[#This Row],[Drug Name5]],'Data Options'!$R$1:$S$100,2,FALSE), " ")</f>
        <v xml:space="preserve"> </v>
      </c>
      <c r="AM67" s="32"/>
      <c r="AN67" s="32"/>
      <c r="AO67" s="53"/>
      <c r="AP67" s="21" t="str">
        <f>IFERROR(VLOOKUP(July[[#This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21" t="str">
        <f>IFERROR(VLOOKUP(July[[#This Row],[Drug Name7]],'Data Options'!$R$1:$S$100,2,FALSE), " ")</f>
        <v xml:space="preserve"> </v>
      </c>
      <c r="AZ67" s="32"/>
      <c r="BA67" s="32"/>
      <c r="BB67" s="53"/>
      <c r="BC67" s="21" t="str">
        <f>IFERROR(VLOOKUP(July[[#This Row],[Drug Name8]],'Data Options'!$R$1:$S$100,2,FALSE), " ")</f>
        <v xml:space="preserve"> </v>
      </c>
      <c r="BD67" s="32"/>
      <c r="BE67" s="32"/>
      <c r="BF67" s="53"/>
      <c r="BG67" s="21" t="str">
        <f>IFERROR(VLOOKUP(July[[#This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21" t="str">
        <f>IFERROR(VLOOKUP(July[[#This Row],[Drug Name]],'Data Options'!$R$1:$S$100,2,FALSE), " ")</f>
        <v xml:space="preserve"> </v>
      </c>
      <c r="R68" s="32"/>
      <c r="S68" s="32"/>
      <c r="T68" s="53"/>
      <c r="U68" s="21" t="str">
        <f>IFERROR(VLOOKUP(July[[#This Row],[Drug Name2]],'Data Options'!$R$1:$S$100,2,FALSE), " ")</f>
        <v xml:space="preserve"> </v>
      </c>
      <c r="V68" s="32"/>
      <c r="W68" s="32"/>
      <c r="X68" s="53"/>
      <c r="Y68" s="21" t="str">
        <f>IFERROR(VLOOKUP(July[[#This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21" t="str">
        <f>IFERROR(VLOOKUP(July[[#This Row],[Drug Name4]],'Data Options'!$R$1:$S$100,2,FALSE), " ")</f>
        <v xml:space="preserve"> </v>
      </c>
      <c r="AI68" s="32"/>
      <c r="AJ68" s="32"/>
      <c r="AK68" s="53"/>
      <c r="AL68" s="21" t="str">
        <f>IFERROR(VLOOKUP(July[[#This Row],[Drug Name5]],'Data Options'!$R$1:$S$100,2,FALSE), " ")</f>
        <v xml:space="preserve"> </v>
      </c>
      <c r="AM68" s="32"/>
      <c r="AN68" s="32"/>
      <c r="AO68" s="53"/>
      <c r="AP68" s="21" t="str">
        <f>IFERROR(VLOOKUP(July[[#This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21" t="str">
        <f>IFERROR(VLOOKUP(July[[#This Row],[Drug Name7]],'Data Options'!$R$1:$S$100,2,FALSE), " ")</f>
        <v xml:space="preserve"> </v>
      </c>
      <c r="AZ68" s="32"/>
      <c r="BA68" s="32"/>
      <c r="BB68" s="53"/>
      <c r="BC68" s="21" t="str">
        <f>IFERROR(VLOOKUP(July[[#This Row],[Drug Name8]],'Data Options'!$R$1:$S$100,2,FALSE), " ")</f>
        <v xml:space="preserve"> </v>
      </c>
      <c r="BD68" s="32"/>
      <c r="BE68" s="32"/>
      <c r="BF68" s="53"/>
      <c r="BG68" s="21" t="str">
        <f>IFERROR(VLOOKUP(July[[#This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21" t="str">
        <f>IFERROR(VLOOKUP(July[[#This Row],[Drug Name]],'Data Options'!$R$1:$S$100,2,FALSE), " ")</f>
        <v xml:space="preserve"> </v>
      </c>
      <c r="R69" s="32"/>
      <c r="S69" s="32"/>
      <c r="T69" s="53"/>
      <c r="U69" s="21" t="str">
        <f>IFERROR(VLOOKUP(July[[#This Row],[Drug Name2]],'Data Options'!$R$1:$S$100,2,FALSE), " ")</f>
        <v xml:space="preserve"> </v>
      </c>
      <c r="V69" s="32"/>
      <c r="W69" s="32"/>
      <c r="X69" s="53"/>
      <c r="Y69" s="21" t="str">
        <f>IFERROR(VLOOKUP(July[[#This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21" t="str">
        <f>IFERROR(VLOOKUP(July[[#This Row],[Drug Name4]],'Data Options'!$R$1:$S$100,2,FALSE), " ")</f>
        <v xml:space="preserve"> </v>
      </c>
      <c r="AI69" s="32"/>
      <c r="AJ69" s="32"/>
      <c r="AK69" s="53"/>
      <c r="AL69" s="21" t="str">
        <f>IFERROR(VLOOKUP(July[[#This Row],[Drug Name5]],'Data Options'!$R$1:$S$100,2,FALSE), " ")</f>
        <v xml:space="preserve"> </v>
      </c>
      <c r="AM69" s="32"/>
      <c r="AN69" s="32"/>
      <c r="AO69" s="53"/>
      <c r="AP69" s="21" t="str">
        <f>IFERROR(VLOOKUP(July[[#This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21" t="str">
        <f>IFERROR(VLOOKUP(July[[#This Row],[Drug Name7]],'Data Options'!$R$1:$S$100,2,FALSE), " ")</f>
        <v xml:space="preserve"> </v>
      </c>
      <c r="AZ69" s="32"/>
      <c r="BA69" s="32"/>
      <c r="BB69" s="53"/>
      <c r="BC69" s="21" t="str">
        <f>IFERROR(VLOOKUP(July[[#This Row],[Drug Name8]],'Data Options'!$R$1:$S$100,2,FALSE), " ")</f>
        <v xml:space="preserve"> </v>
      </c>
      <c r="BD69" s="32"/>
      <c r="BE69" s="32"/>
      <c r="BF69" s="53"/>
      <c r="BG69" s="21" t="str">
        <f>IFERROR(VLOOKUP(July[[#This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21" t="str">
        <f>IFERROR(VLOOKUP(July[[#This Row],[Drug Name]],'Data Options'!$R$1:$S$100,2,FALSE), " ")</f>
        <v xml:space="preserve"> </v>
      </c>
      <c r="R70" s="32"/>
      <c r="S70" s="32"/>
      <c r="T70" s="53"/>
      <c r="U70" s="21" t="str">
        <f>IFERROR(VLOOKUP(July[[#This Row],[Drug Name2]],'Data Options'!$R$1:$S$100,2,FALSE), " ")</f>
        <v xml:space="preserve"> </v>
      </c>
      <c r="V70" s="32"/>
      <c r="W70" s="32"/>
      <c r="X70" s="53"/>
      <c r="Y70" s="21" t="str">
        <f>IFERROR(VLOOKUP(July[[#This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21" t="str">
        <f>IFERROR(VLOOKUP(July[[#This Row],[Drug Name4]],'Data Options'!$R$1:$S$100,2,FALSE), " ")</f>
        <v xml:space="preserve"> </v>
      </c>
      <c r="AI70" s="32"/>
      <c r="AJ70" s="32"/>
      <c r="AK70" s="53"/>
      <c r="AL70" s="21" t="str">
        <f>IFERROR(VLOOKUP(July[[#This Row],[Drug Name5]],'Data Options'!$R$1:$S$100,2,FALSE), " ")</f>
        <v xml:space="preserve"> </v>
      </c>
      <c r="AM70" s="32"/>
      <c r="AN70" s="32"/>
      <c r="AO70" s="53"/>
      <c r="AP70" s="21" t="str">
        <f>IFERROR(VLOOKUP(July[[#This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21" t="str">
        <f>IFERROR(VLOOKUP(July[[#This Row],[Drug Name7]],'Data Options'!$R$1:$S$100,2,FALSE), " ")</f>
        <v xml:space="preserve"> </v>
      </c>
      <c r="AZ70" s="32"/>
      <c r="BA70" s="32"/>
      <c r="BB70" s="53"/>
      <c r="BC70" s="21" t="str">
        <f>IFERROR(VLOOKUP(July[[#This Row],[Drug Name8]],'Data Options'!$R$1:$S$100,2,FALSE), " ")</f>
        <v xml:space="preserve"> </v>
      </c>
      <c r="BD70" s="32"/>
      <c r="BE70" s="32"/>
      <c r="BF70" s="53"/>
      <c r="BG70" s="21" t="str">
        <f>IFERROR(VLOOKUP(July[[#This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21" t="str">
        <f>IFERROR(VLOOKUP(July[[#This Row],[Drug Name]],'Data Options'!$R$1:$S$100,2,FALSE), " ")</f>
        <v xml:space="preserve"> </v>
      </c>
      <c r="R71" s="32"/>
      <c r="S71" s="32"/>
      <c r="T71" s="53"/>
      <c r="U71" s="21" t="str">
        <f>IFERROR(VLOOKUP(July[[#This Row],[Drug Name2]],'Data Options'!$R$1:$S$100,2,FALSE), " ")</f>
        <v xml:space="preserve"> </v>
      </c>
      <c r="V71" s="32"/>
      <c r="W71" s="32"/>
      <c r="X71" s="53"/>
      <c r="Y71" s="21" t="str">
        <f>IFERROR(VLOOKUP(July[[#This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21" t="str">
        <f>IFERROR(VLOOKUP(July[[#This Row],[Drug Name4]],'Data Options'!$R$1:$S$100,2,FALSE), " ")</f>
        <v xml:space="preserve"> </v>
      </c>
      <c r="AI71" s="32"/>
      <c r="AJ71" s="32"/>
      <c r="AK71" s="53"/>
      <c r="AL71" s="21" t="str">
        <f>IFERROR(VLOOKUP(July[[#This Row],[Drug Name5]],'Data Options'!$R$1:$S$100,2,FALSE), " ")</f>
        <v xml:space="preserve"> </v>
      </c>
      <c r="AM71" s="32"/>
      <c r="AN71" s="32"/>
      <c r="AO71" s="53"/>
      <c r="AP71" s="21" t="str">
        <f>IFERROR(VLOOKUP(July[[#This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21" t="str">
        <f>IFERROR(VLOOKUP(July[[#This Row],[Drug Name7]],'Data Options'!$R$1:$S$100,2,FALSE), " ")</f>
        <v xml:space="preserve"> </v>
      </c>
      <c r="AZ71" s="32"/>
      <c r="BA71" s="32"/>
      <c r="BB71" s="53"/>
      <c r="BC71" s="21" t="str">
        <f>IFERROR(VLOOKUP(July[[#This Row],[Drug Name8]],'Data Options'!$R$1:$S$100,2,FALSE), " ")</f>
        <v xml:space="preserve"> </v>
      </c>
      <c r="BD71" s="32"/>
      <c r="BE71" s="32"/>
      <c r="BF71" s="53"/>
      <c r="BG71" s="21" t="str">
        <f>IFERROR(VLOOKUP(July[[#This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21" t="str">
        <f>IFERROR(VLOOKUP(July[[#This Row],[Drug Name]],'Data Options'!$R$1:$S$100,2,FALSE), " ")</f>
        <v xml:space="preserve"> </v>
      </c>
      <c r="R72" s="32"/>
      <c r="S72" s="32"/>
      <c r="T72" s="53"/>
      <c r="U72" s="21" t="str">
        <f>IFERROR(VLOOKUP(July[[#This Row],[Drug Name2]],'Data Options'!$R$1:$S$100,2,FALSE), " ")</f>
        <v xml:space="preserve"> </v>
      </c>
      <c r="V72" s="32"/>
      <c r="W72" s="32"/>
      <c r="X72" s="53"/>
      <c r="Y72" s="21" t="str">
        <f>IFERROR(VLOOKUP(July[[#This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21" t="str">
        <f>IFERROR(VLOOKUP(July[[#This Row],[Drug Name4]],'Data Options'!$R$1:$S$100,2,FALSE), " ")</f>
        <v xml:space="preserve"> </v>
      </c>
      <c r="AI72" s="32"/>
      <c r="AJ72" s="32"/>
      <c r="AK72" s="53"/>
      <c r="AL72" s="21" t="str">
        <f>IFERROR(VLOOKUP(July[[#This Row],[Drug Name5]],'Data Options'!$R$1:$S$100,2,FALSE), " ")</f>
        <v xml:space="preserve"> </v>
      </c>
      <c r="AM72" s="32"/>
      <c r="AN72" s="32"/>
      <c r="AO72" s="53"/>
      <c r="AP72" s="21" t="str">
        <f>IFERROR(VLOOKUP(July[[#This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21" t="str">
        <f>IFERROR(VLOOKUP(July[[#This Row],[Drug Name7]],'Data Options'!$R$1:$S$100,2,FALSE), " ")</f>
        <v xml:space="preserve"> </v>
      </c>
      <c r="AZ72" s="32"/>
      <c r="BA72" s="32"/>
      <c r="BB72" s="53"/>
      <c r="BC72" s="21" t="str">
        <f>IFERROR(VLOOKUP(July[[#This Row],[Drug Name8]],'Data Options'!$R$1:$S$100,2,FALSE), " ")</f>
        <v xml:space="preserve"> </v>
      </c>
      <c r="BD72" s="32"/>
      <c r="BE72" s="32"/>
      <c r="BF72" s="53"/>
      <c r="BG72" s="21" t="str">
        <f>IFERROR(VLOOKUP(July[[#This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21" t="str">
        <f>IFERROR(VLOOKUP(July[[#This Row],[Drug Name]],'Data Options'!$R$1:$S$100,2,FALSE), " ")</f>
        <v xml:space="preserve"> </v>
      </c>
      <c r="R73" s="32"/>
      <c r="S73" s="32"/>
      <c r="T73" s="53"/>
      <c r="U73" s="21" t="str">
        <f>IFERROR(VLOOKUP(July[[#This Row],[Drug Name2]],'Data Options'!$R$1:$S$100,2,FALSE), " ")</f>
        <v xml:space="preserve"> </v>
      </c>
      <c r="V73" s="32"/>
      <c r="W73" s="32"/>
      <c r="X73" s="53"/>
      <c r="Y73" s="21" t="str">
        <f>IFERROR(VLOOKUP(July[[#This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21" t="str">
        <f>IFERROR(VLOOKUP(July[[#This Row],[Drug Name4]],'Data Options'!$R$1:$S$100,2,FALSE), " ")</f>
        <v xml:space="preserve"> </v>
      </c>
      <c r="AI73" s="32"/>
      <c r="AJ73" s="32"/>
      <c r="AK73" s="53"/>
      <c r="AL73" s="21" t="str">
        <f>IFERROR(VLOOKUP(July[[#This Row],[Drug Name5]],'Data Options'!$R$1:$S$100,2,FALSE), " ")</f>
        <v xml:space="preserve"> </v>
      </c>
      <c r="AM73" s="32"/>
      <c r="AN73" s="32"/>
      <c r="AO73" s="53"/>
      <c r="AP73" s="21" t="str">
        <f>IFERROR(VLOOKUP(July[[#This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21" t="str">
        <f>IFERROR(VLOOKUP(July[[#This Row],[Drug Name7]],'Data Options'!$R$1:$S$100,2,FALSE), " ")</f>
        <v xml:space="preserve"> </v>
      </c>
      <c r="AZ73" s="32"/>
      <c r="BA73" s="32"/>
      <c r="BB73" s="53"/>
      <c r="BC73" s="21" t="str">
        <f>IFERROR(VLOOKUP(July[[#This Row],[Drug Name8]],'Data Options'!$R$1:$S$100,2,FALSE), " ")</f>
        <v xml:space="preserve"> </v>
      </c>
      <c r="BD73" s="32"/>
      <c r="BE73" s="32"/>
      <c r="BF73" s="53"/>
      <c r="BG73" s="21" t="str">
        <f>IFERROR(VLOOKUP(July[[#This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21" t="str">
        <f>IFERROR(VLOOKUP(July[[#This Row],[Drug Name]],'Data Options'!$R$1:$S$100,2,FALSE), " ")</f>
        <v xml:space="preserve"> </v>
      </c>
      <c r="R74" s="32"/>
      <c r="S74" s="32"/>
      <c r="T74" s="53"/>
      <c r="U74" s="21" t="str">
        <f>IFERROR(VLOOKUP(July[[#This Row],[Drug Name2]],'Data Options'!$R$1:$S$100,2,FALSE), " ")</f>
        <v xml:space="preserve"> </v>
      </c>
      <c r="V74" s="32"/>
      <c r="W74" s="32"/>
      <c r="X74" s="53"/>
      <c r="Y74" s="21" t="str">
        <f>IFERROR(VLOOKUP(July[[#This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21" t="str">
        <f>IFERROR(VLOOKUP(July[[#This Row],[Drug Name4]],'Data Options'!$R$1:$S$100,2,FALSE), " ")</f>
        <v xml:space="preserve"> </v>
      </c>
      <c r="AI74" s="32"/>
      <c r="AJ74" s="32"/>
      <c r="AK74" s="53"/>
      <c r="AL74" s="21" t="str">
        <f>IFERROR(VLOOKUP(July[[#This Row],[Drug Name5]],'Data Options'!$R$1:$S$100,2,FALSE), " ")</f>
        <v xml:space="preserve"> </v>
      </c>
      <c r="AM74" s="32"/>
      <c r="AN74" s="32"/>
      <c r="AO74" s="53"/>
      <c r="AP74" s="21" t="str">
        <f>IFERROR(VLOOKUP(July[[#This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21" t="str">
        <f>IFERROR(VLOOKUP(July[[#This Row],[Drug Name7]],'Data Options'!$R$1:$S$100,2,FALSE), " ")</f>
        <v xml:space="preserve"> </v>
      </c>
      <c r="AZ74" s="32"/>
      <c r="BA74" s="32"/>
      <c r="BB74" s="53"/>
      <c r="BC74" s="21" t="str">
        <f>IFERROR(VLOOKUP(July[[#This Row],[Drug Name8]],'Data Options'!$R$1:$S$100,2,FALSE), " ")</f>
        <v xml:space="preserve"> </v>
      </c>
      <c r="BD74" s="32"/>
      <c r="BE74" s="32"/>
      <c r="BF74" s="53"/>
      <c r="BG74" s="21" t="str">
        <f>IFERROR(VLOOKUP(July[[#This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21" t="str">
        <f>IFERROR(VLOOKUP(July[[#This Row],[Drug Name]],'Data Options'!$R$1:$S$100,2,FALSE), " ")</f>
        <v xml:space="preserve"> </v>
      </c>
      <c r="R75" s="32"/>
      <c r="S75" s="32"/>
      <c r="T75" s="53"/>
      <c r="U75" s="21" t="str">
        <f>IFERROR(VLOOKUP(July[[#This Row],[Drug Name2]],'Data Options'!$R$1:$S$100,2,FALSE), " ")</f>
        <v xml:space="preserve"> </v>
      </c>
      <c r="V75" s="32"/>
      <c r="W75" s="32"/>
      <c r="X75" s="53"/>
      <c r="Y75" s="21" t="str">
        <f>IFERROR(VLOOKUP(July[[#This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21" t="str">
        <f>IFERROR(VLOOKUP(July[[#This Row],[Drug Name4]],'Data Options'!$R$1:$S$100,2,FALSE), " ")</f>
        <v xml:space="preserve"> </v>
      </c>
      <c r="AI75" s="32"/>
      <c r="AJ75" s="32"/>
      <c r="AK75" s="53"/>
      <c r="AL75" s="21" t="str">
        <f>IFERROR(VLOOKUP(July[[#This Row],[Drug Name5]],'Data Options'!$R$1:$S$100,2,FALSE), " ")</f>
        <v xml:space="preserve"> </v>
      </c>
      <c r="AM75" s="32"/>
      <c r="AN75" s="32"/>
      <c r="AO75" s="53"/>
      <c r="AP75" s="21" t="str">
        <f>IFERROR(VLOOKUP(July[[#This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21" t="str">
        <f>IFERROR(VLOOKUP(July[[#This Row],[Drug Name7]],'Data Options'!$R$1:$S$100,2,FALSE), " ")</f>
        <v xml:space="preserve"> </v>
      </c>
      <c r="AZ75" s="32"/>
      <c r="BA75" s="32"/>
      <c r="BB75" s="53"/>
      <c r="BC75" s="21" t="str">
        <f>IFERROR(VLOOKUP(July[[#This Row],[Drug Name8]],'Data Options'!$R$1:$S$100,2,FALSE), " ")</f>
        <v xml:space="preserve"> </v>
      </c>
      <c r="BD75" s="32"/>
      <c r="BE75" s="32"/>
      <c r="BF75" s="53"/>
      <c r="BG75" s="21" t="str">
        <f>IFERROR(VLOOKUP(July[[#This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21" t="str">
        <f>IFERROR(VLOOKUP(July[[#This Row],[Drug Name]],'Data Options'!$R$1:$S$100,2,FALSE), " ")</f>
        <v xml:space="preserve"> </v>
      </c>
      <c r="R76" s="32"/>
      <c r="S76" s="32"/>
      <c r="T76" s="53"/>
      <c r="U76" s="21" t="str">
        <f>IFERROR(VLOOKUP(July[[#This Row],[Drug Name2]],'Data Options'!$R$1:$S$100,2,FALSE), " ")</f>
        <v xml:space="preserve"> </v>
      </c>
      <c r="V76" s="32"/>
      <c r="W76" s="32"/>
      <c r="X76" s="53"/>
      <c r="Y76" s="21" t="str">
        <f>IFERROR(VLOOKUP(July[[#This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21" t="str">
        <f>IFERROR(VLOOKUP(July[[#This Row],[Drug Name4]],'Data Options'!$R$1:$S$100,2,FALSE), " ")</f>
        <v xml:space="preserve"> </v>
      </c>
      <c r="AI76" s="32"/>
      <c r="AJ76" s="32"/>
      <c r="AK76" s="53"/>
      <c r="AL76" s="21" t="str">
        <f>IFERROR(VLOOKUP(July[[#This Row],[Drug Name5]],'Data Options'!$R$1:$S$100,2,FALSE), " ")</f>
        <v xml:space="preserve"> </v>
      </c>
      <c r="AM76" s="32"/>
      <c r="AN76" s="32"/>
      <c r="AO76" s="53"/>
      <c r="AP76" s="21" t="str">
        <f>IFERROR(VLOOKUP(July[[#This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21" t="str">
        <f>IFERROR(VLOOKUP(July[[#This Row],[Drug Name7]],'Data Options'!$R$1:$S$100,2,FALSE), " ")</f>
        <v xml:space="preserve"> </v>
      </c>
      <c r="AZ76" s="32"/>
      <c r="BA76" s="32"/>
      <c r="BB76" s="53"/>
      <c r="BC76" s="21" t="str">
        <f>IFERROR(VLOOKUP(July[[#This Row],[Drug Name8]],'Data Options'!$R$1:$S$100,2,FALSE), " ")</f>
        <v xml:space="preserve"> </v>
      </c>
      <c r="BD76" s="32"/>
      <c r="BE76" s="32"/>
      <c r="BF76" s="53"/>
      <c r="BG76" s="21" t="str">
        <f>IFERROR(VLOOKUP(July[[#This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21" t="str">
        <f>IFERROR(VLOOKUP(July[[#This Row],[Drug Name]],'Data Options'!$R$1:$S$100,2,FALSE), " ")</f>
        <v xml:space="preserve"> </v>
      </c>
      <c r="R77" s="32"/>
      <c r="S77" s="32"/>
      <c r="T77" s="53"/>
      <c r="U77" s="21" t="str">
        <f>IFERROR(VLOOKUP(July[[#This Row],[Drug Name2]],'Data Options'!$R$1:$S$100,2,FALSE), " ")</f>
        <v xml:space="preserve"> </v>
      </c>
      <c r="V77" s="32"/>
      <c r="W77" s="32"/>
      <c r="X77" s="53"/>
      <c r="Y77" s="21" t="str">
        <f>IFERROR(VLOOKUP(July[[#This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21" t="str">
        <f>IFERROR(VLOOKUP(July[[#This Row],[Drug Name4]],'Data Options'!$R$1:$S$100,2,FALSE), " ")</f>
        <v xml:space="preserve"> </v>
      </c>
      <c r="AI77" s="32"/>
      <c r="AJ77" s="32"/>
      <c r="AK77" s="53"/>
      <c r="AL77" s="21" t="str">
        <f>IFERROR(VLOOKUP(July[[#This Row],[Drug Name5]],'Data Options'!$R$1:$S$100,2,FALSE), " ")</f>
        <v xml:space="preserve"> </v>
      </c>
      <c r="AM77" s="32"/>
      <c r="AN77" s="32"/>
      <c r="AO77" s="53"/>
      <c r="AP77" s="21" t="str">
        <f>IFERROR(VLOOKUP(July[[#This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21" t="str">
        <f>IFERROR(VLOOKUP(July[[#This Row],[Drug Name7]],'Data Options'!$R$1:$S$100,2,FALSE), " ")</f>
        <v xml:space="preserve"> </v>
      </c>
      <c r="AZ77" s="32"/>
      <c r="BA77" s="32"/>
      <c r="BB77" s="53"/>
      <c r="BC77" s="21" t="str">
        <f>IFERROR(VLOOKUP(July[[#This Row],[Drug Name8]],'Data Options'!$R$1:$S$100,2,FALSE), " ")</f>
        <v xml:space="preserve"> </v>
      </c>
      <c r="BD77" s="32"/>
      <c r="BE77" s="32"/>
      <c r="BF77" s="53"/>
      <c r="BG77" s="21" t="str">
        <f>IFERROR(VLOOKUP(July[[#This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21" t="str">
        <f>IFERROR(VLOOKUP(July[[#This Row],[Drug Name]],'Data Options'!$R$1:$S$100,2,FALSE), " ")</f>
        <v xml:space="preserve"> </v>
      </c>
      <c r="R78" s="32"/>
      <c r="S78" s="32"/>
      <c r="T78" s="53"/>
      <c r="U78" s="21" t="str">
        <f>IFERROR(VLOOKUP(July[[#This Row],[Drug Name2]],'Data Options'!$R$1:$S$100,2,FALSE), " ")</f>
        <v xml:space="preserve"> </v>
      </c>
      <c r="V78" s="32"/>
      <c r="W78" s="32"/>
      <c r="X78" s="53"/>
      <c r="Y78" s="21" t="str">
        <f>IFERROR(VLOOKUP(July[[#This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21" t="str">
        <f>IFERROR(VLOOKUP(July[[#This Row],[Drug Name4]],'Data Options'!$R$1:$S$100,2,FALSE), " ")</f>
        <v xml:space="preserve"> </v>
      </c>
      <c r="AI78" s="32"/>
      <c r="AJ78" s="32"/>
      <c r="AK78" s="53"/>
      <c r="AL78" s="21" t="str">
        <f>IFERROR(VLOOKUP(July[[#This Row],[Drug Name5]],'Data Options'!$R$1:$S$100,2,FALSE), " ")</f>
        <v xml:space="preserve"> </v>
      </c>
      <c r="AM78" s="32"/>
      <c r="AN78" s="32"/>
      <c r="AO78" s="53"/>
      <c r="AP78" s="21" t="str">
        <f>IFERROR(VLOOKUP(July[[#This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21" t="str">
        <f>IFERROR(VLOOKUP(July[[#This Row],[Drug Name7]],'Data Options'!$R$1:$S$100,2,FALSE), " ")</f>
        <v xml:space="preserve"> </v>
      </c>
      <c r="AZ78" s="32"/>
      <c r="BA78" s="32"/>
      <c r="BB78" s="53"/>
      <c r="BC78" s="21" t="str">
        <f>IFERROR(VLOOKUP(July[[#This Row],[Drug Name8]],'Data Options'!$R$1:$S$100,2,FALSE), " ")</f>
        <v xml:space="preserve"> </v>
      </c>
      <c r="BD78" s="32"/>
      <c r="BE78" s="32"/>
      <c r="BF78" s="53"/>
      <c r="BG78" s="21" t="str">
        <f>IFERROR(VLOOKUP(July[[#This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21" t="str">
        <f>IFERROR(VLOOKUP(July[[#This Row],[Drug Name]],'Data Options'!$R$1:$S$100,2,FALSE), " ")</f>
        <v xml:space="preserve"> </v>
      </c>
      <c r="R79" s="32"/>
      <c r="S79" s="32"/>
      <c r="T79" s="53"/>
      <c r="U79" s="21" t="str">
        <f>IFERROR(VLOOKUP(July[[#This Row],[Drug Name2]],'Data Options'!$R$1:$S$100,2,FALSE), " ")</f>
        <v xml:space="preserve"> </v>
      </c>
      <c r="V79" s="32"/>
      <c r="W79" s="32"/>
      <c r="X79" s="53"/>
      <c r="Y79" s="21" t="str">
        <f>IFERROR(VLOOKUP(July[[#This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21" t="str">
        <f>IFERROR(VLOOKUP(July[[#This Row],[Drug Name4]],'Data Options'!$R$1:$S$100,2,FALSE), " ")</f>
        <v xml:space="preserve"> </v>
      </c>
      <c r="AI79" s="32"/>
      <c r="AJ79" s="32"/>
      <c r="AK79" s="53"/>
      <c r="AL79" s="21" t="str">
        <f>IFERROR(VLOOKUP(July[[#This Row],[Drug Name5]],'Data Options'!$R$1:$S$100,2,FALSE), " ")</f>
        <v xml:space="preserve"> </v>
      </c>
      <c r="AM79" s="32"/>
      <c r="AN79" s="32"/>
      <c r="AO79" s="53"/>
      <c r="AP79" s="21" t="str">
        <f>IFERROR(VLOOKUP(July[[#This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21" t="str">
        <f>IFERROR(VLOOKUP(July[[#This Row],[Drug Name7]],'Data Options'!$R$1:$S$100,2,FALSE), " ")</f>
        <v xml:space="preserve"> </v>
      </c>
      <c r="AZ79" s="32"/>
      <c r="BA79" s="32"/>
      <c r="BB79" s="53"/>
      <c r="BC79" s="21" t="str">
        <f>IFERROR(VLOOKUP(July[[#This Row],[Drug Name8]],'Data Options'!$R$1:$S$100,2,FALSE), " ")</f>
        <v xml:space="preserve"> </v>
      </c>
      <c r="BD79" s="32"/>
      <c r="BE79" s="32"/>
      <c r="BF79" s="53"/>
      <c r="BG79" s="21" t="str">
        <f>IFERROR(VLOOKUP(July[[#This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21" t="str">
        <f>IFERROR(VLOOKUP(July[[#This Row],[Drug Name]],'Data Options'!$R$1:$S$100,2,FALSE), " ")</f>
        <v xml:space="preserve"> </v>
      </c>
      <c r="R80" s="32"/>
      <c r="S80" s="32"/>
      <c r="T80" s="53"/>
      <c r="U80" s="21" t="str">
        <f>IFERROR(VLOOKUP(July[[#This Row],[Drug Name2]],'Data Options'!$R$1:$S$100,2,FALSE), " ")</f>
        <v xml:space="preserve"> </v>
      </c>
      <c r="V80" s="32"/>
      <c r="W80" s="32"/>
      <c r="X80" s="53"/>
      <c r="Y80" s="21" t="str">
        <f>IFERROR(VLOOKUP(July[[#This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21" t="str">
        <f>IFERROR(VLOOKUP(July[[#This Row],[Drug Name4]],'Data Options'!$R$1:$S$100,2,FALSE), " ")</f>
        <v xml:space="preserve"> </v>
      </c>
      <c r="AI80" s="32"/>
      <c r="AJ80" s="32"/>
      <c r="AK80" s="53"/>
      <c r="AL80" s="21" t="str">
        <f>IFERROR(VLOOKUP(July[[#This Row],[Drug Name5]],'Data Options'!$R$1:$S$100,2,FALSE), " ")</f>
        <v xml:space="preserve"> </v>
      </c>
      <c r="AM80" s="32"/>
      <c r="AN80" s="32"/>
      <c r="AO80" s="53"/>
      <c r="AP80" s="21" t="str">
        <f>IFERROR(VLOOKUP(July[[#This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21" t="str">
        <f>IFERROR(VLOOKUP(July[[#This Row],[Drug Name7]],'Data Options'!$R$1:$S$100,2,FALSE), " ")</f>
        <v xml:space="preserve"> </v>
      </c>
      <c r="AZ80" s="32"/>
      <c r="BA80" s="32"/>
      <c r="BB80" s="53"/>
      <c r="BC80" s="21" t="str">
        <f>IFERROR(VLOOKUP(July[[#This Row],[Drug Name8]],'Data Options'!$R$1:$S$100,2,FALSE), " ")</f>
        <v xml:space="preserve"> </v>
      </c>
      <c r="BD80" s="32"/>
      <c r="BE80" s="32"/>
      <c r="BF80" s="53"/>
      <c r="BG80" s="21" t="str">
        <f>IFERROR(VLOOKUP(July[[#This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21" t="str">
        <f>IFERROR(VLOOKUP(July[[#This Row],[Drug Name]],'Data Options'!$R$1:$S$100,2,FALSE), " ")</f>
        <v xml:space="preserve"> </v>
      </c>
      <c r="R81" s="32"/>
      <c r="S81" s="32"/>
      <c r="T81" s="53"/>
      <c r="U81" s="21" t="str">
        <f>IFERROR(VLOOKUP(July[[#This Row],[Drug Name2]],'Data Options'!$R$1:$S$100,2,FALSE), " ")</f>
        <v xml:space="preserve"> </v>
      </c>
      <c r="V81" s="32"/>
      <c r="W81" s="32"/>
      <c r="X81" s="53"/>
      <c r="Y81" s="21" t="str">
        <f>IFERROR(VLOOKUP(July[[#This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21" t="str">
        <f>IFERROR(VLOOKUP(July[[#This Row],[Drug Name4]],'Data Options'!$R$1:$S$100,2,FALSE), " ")</f>
        <v xml:space="preserve"> </v>
      </c>
      <c r="AI81" s="32"/>
      <c r="AJ81" s="32"/>
      <c r="AK81" s="53"/>
      <c r="AL81" s="21" t="str">
        <f>IFERROR(VLOOKUP(July[[#This Row],[Drug Name5]],'Data Options'!$R$1:$S$100,2,FALSE), " ")</f>
        <v xml:space="preserve"> </v>
      </c>
      <c r="AM81" s="32"/>
      <c r="AN81" s="32"/>
      <c r="AO81" s="53"/>
      <c r="AP81" s="21" t="str">
        <f>IFERROR(VLOOKUP(July[[#This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21" t="str">
        <f>IFERROR(VLOOKUP(July[[#This Row],[Drug Name7]],'Data Options'!$R$1:$S$100,2,FALSE), " ")</f>
        <v xml:space="preserve"> </v>
      </c>
      <c r="AZ81" s="32"/>
      <c r="BA81" s="32"/>
      <c r="BB81" s="53"/>
      <c r="BC81" s="21" t="str">
        <f>IFERROR(VLOOKUP(July[[#This Row],[Drug Name8]],'Data Options'!$R$1:$S$100,2,FALSE), " ")</f>
        <v xml:space="preserve"> </v>
      </c>
      <c r="BD81" s="32"/>
      <c r="BE81" s="32"/>
      <c r="BF81" s="53"/>
      <c r="BG81" s="21" t="str">
        <f>IFERROR(VLOOKUP(July[[#This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21" t="str">
        <f>IFERROR(VLOOKUP(July[[#This Row],[Drug Name]],'Data Options'!$R$1:$S$100,2,FALSE), " ")</f>
        <v xml:space="preserve"> </v>
      </c>
      <c r="R82" s="32"/>
      <c r="S82" s="32"/>
      <c r="T82" s="53"/>
      <c r="U82" s="21" t="str">
        <f>IFERROR(VLOOKUP(July[[#This Row],[Drug Name2]],'Data Options'!$R$1:$S$100,2,FALSE), " ")</f>
        <v xml:space="preserve"> </v>
      </c>
      <c r="V82" s="32"/>
      <c r="W82" s="32"/>
      <c r="X82" s="53"/>
      <c r="Y82" s="21" t="str">
        <f>IFERROR(VLOOKUP(July[[#This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21" t="str">
        <f>IFERROR(VLOOKUP(July[[#This Row],[Drug Name4]],'Data Options'!$R$1:$S$100,2,FALSE), " ")</f>
        <v xml:space="preserve"> </v>
      </c>
      <c r="AI82" s="32"/>
      <c r="AJ82" s="32"/>
      <c r="AK82" s="53"/>
      <c r="AL82" s="21" t="str">
        <f>IFERROR(VLOOKUP(July[[#This Row],[Drug Name5]],'Data Options'!$R$1:$S$100,2,FALSE), " ")</f>
        <v xml:space="preserve"> </v>
      </c>
      <c r="AM82" s="32"/>
      <c r="AN82" s="32"/>
      <c r="AO82" s="53"/>
      <c r="AP82" s="21" t="str">
        <f>IFERROR(VLOOKUP(July[[#This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21" t="str">
        <f>IFERROR(VLOOKUP(July[[#This Row],[Drug Name7]],'Data Options'!$R$1:$S$100,2,FALSE), " ")</f>
        <v xml:space="preserve"> </v>
      </c>
      <c r="AZ82" s="32"/>
      <c r="BA82" s="32"/>
      <c r="BB82" s="53"/>
      <c r="BC82" s="21" t="str">
        <f>IFERROR(VLOOKUP(July[[#This Row],[Drug Name8]],'Data Options'!$R$1:$S$100,2,FALSE), " ")</f>
        <v xml:space="preserve"> </v>
      </c>
      <c r="BD82" s="32"/>
      <c r="BE82" s="32"/>
      <c r="BF82" s="53"/>
      <c r="BG82" s="21" t="str">
        <f>IFERROR(VLOOKUP(July[[#This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21" t="str">
        <f>IFERROR(VLOOKUP(July[[#This Row],[Drug Name]],'Data Options'!$R$1:$S$100,2,FALSE), " ")</f>
        <v xml:space="preserve"> </v>
      </c>
      <c r="R83" s="32"/>
      <c r="S83" s="32"/>
      <c r="T83" s="53"/>
      <c r="U83" s="21" t="str">
        <f>IFERROR(VLOOKUP(July[[#This Row],[Drug Name2]],'Data Options'!$R$1:$S$100,2,FALSE), " ")</f>
        <v xml:space="preserve"> </v>
      </c>
      <c r="V83" s="32"/>
      <c r="W83" s="32"/>
      <c r="X83" s="53"/>
      <c r="Y83" s="21" t="str">
        <f>IFERROR(VLOOKUP(July[[#This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21" t="str">
        <f>IFERROR(VLOOKUP(July[[#This Row],[Drug Name4]],'Data Options'!$R$1:$S$100,2,FALSE), " ")</f>
        <v xml:space="preserve"> </v>
      </c>
      <c r="AI83" s="32"/>
      <c r="AJ83" s="32"/>
      <c r="AK83" s="53"/>
      <c r="AL83" s="21" t="str">
        <f>IFERROR(VLOOKUP(July[[#This Row],[Drug Name5]],'Data Options'!$R$1:$S$100,2,FALSE), " ")</f>
        <v xml:space="preserve"> </v>
      </c>
      <c r="AM83" s="32"/>
      <c r="AN83" s="32"/>
      <c r="AO83" s="53"/>
      <c r="AP83" s="21" t="str">
        <f>IFERROR(VLOOKUP(July[[#This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21" t="str">
        <f>IFERROR(VLOOKUP(July[[#This Row],[Drug Name7]],'Data Options'!$R$1:$S$100,2,FALSE), " ")</f>
        <v xml:space="preserve"> </v>
      </c>
      <c r="AZ83" s="32"/>
      <c r="BA83" s="32"/>
      <c r="BB83" s="53"/>
      <c r="BC83" s="21" t="str">
        <f>IFERROR(VLOOKUP(July[[#This Row],[Drug Name8]],'Data Options'!$R$1:$S$100,2,FALSE), " ")</f>
        <v xml:space="preserve"> </v>
      </c>
      <c r="BD83" s="32"/>
      <c r="BE83" s="32"/>
      <c r="BF83" s="53"/>
      <c r="BG83" s="21" t="str">
        <f>IFERROR(VLOOKUP(July[[#This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21" t="str">
        <f>IFERROR(VLOOKUP(July[[#This Row],[Drug Name]],'Data Options'!$R$1:$S$100,2,FALSE), " ")</f>
        <v xml:space="preserve"> </v>
      </c>
      <c r="R84" s="32"/>
      <c r="S84" s="32"/>
      <c r="T84" s="53"/>
      <c r="U84" s="21" t="str">
        <f>IFERROR(VLOOKUP(July[[#This Row],[Drug Name2]],'Data Options'!$R$1:$S$100,2,FALSE), " ")</f>
        <v xml:space="preserve"> </v>
      </c>
      <c r="V84" s="32"/>
      <c r="W84" s="32"/>
      <c r="X84" s="53"/>
      <c r="Y84" s="21" t="str">
        <f>IFERROR(VLOOKUP(July[[#This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21" t="str">
        <f>IFERROR(VLOOKUP(July[[#This Row],[Drug Name4]],'Data Options'!$R$1:$S$100,2,FALSE), " ")</f>
        <v xml:space="preserve"> </v>
      </c>
      <c r="AI84" s="32"/>
      <c r="AJ84" s="32"/>
      <c r="AK84" s="53"/>
      <c r="AL84" s="21" t="str">
        <f>IFERROR(VLOOKUP(July[[#This Row],[Drug Name5]],'Data Options'!$R$1:$S$100,2,FALSE), " ")</f>
        <v xml:space="preserve"> </v>
      </c>
      <c r="AM84" s="32"/>
      <c r="AN84" s="32"/>
      <c r="AO84" s="53"/>
      <c r="AP84" s="21" t="str">
        <f>IFERROR(VLOOKUP(July[[#This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21" t="str">
        <f>IFERROR(VLOOKUP(July[[#This Row],[Drug Name7]],'Data Options'!$R$1:$S$100,2,FALSE), " ")</f>
        <v xml:space="preserve"> </v>
      </c>
      <c r="AZ84" s="32"/>
      <c r="BA84" s="32"/>
      <c r="BB84" s="53"/>
      <c r="BC84" s="21" t="str">
        <f>IFERROR(VLOOKUP(July[[#This Row],[Drug Name8]],'Data Options'!$R$1:$S$100,2,FALSE), " ")</f>
        <v xml:space="preserve"> </v>
      </c>
      <c r="BD84" s="32"/>
      <c r="BE84" s="32"/>
      <c r="BF84" s="53"/>
      <c r="BG84" s="21" t="str">
        <f>IFERROR(VLOOKUP(July[[#This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21" t="str">
        <f>IFERROR(VLOOKUP(July[[#This Row],[Drug Name]],'Data Options'!$R$1:$S$100,2,FALSE), " ")</f>
        <v xml:space="preserve"> </v>
      </c>
      <c r="R85" s="32"/>
      <c r="S85" s="32"/>
      <c r="T85" s="53"/>
      <c r="U85" s="21" t="str">
        <f>IFERROR(VLOOKUP(July[[#This Row],[Drug Name2]],'Data Options'!$R$1:$S$100,2,FALSE), " ")</f>
        <v xml:space="preserve"> </v>
      </c>
      <c r="V85" s="32"/>
      <c r="W85" s="32"/>
      <c r="X85" s="53"/>
      <c r="Y85" s="21" t="str">
        <f>IFERROR(VLOOKUP(July[[#This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21" t="str">
        <f>IFERROR(VLOOKUP(July[[#This Row],[Drug Name4]],'Data Options'!$R$1:$S$100,2,FALSE), " ")</f>
        <v xml:space="preserve"> </v>
      </c>
      <c r="AI85" s="32"/>
      <c r="AJ85" s="32"/>
      <c r="AK85" s="53"/>
      <c r="AL85" s="21" t="str">
        <f>IFERROR(VLOOKUP(July[[#This Row],[Drug Name5]],'Data Options'!$R$1:$S$100,2,FALSE), " ")</f>
        <v xml:space="preserve"> </v>
      </c>
      <c r="AM85" s="32"/>
      <c r="AN85" s="32"/>
      <c r="AO85" s="53"/>
      <c r="AP85" s="21" t="str">
        <f>IFERROR(VLOOKUP(July[[#This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21" t="str">
        <f>IFERROR(VLOOKUP(July[[#This Row],[Drug Name7]],'Data Options'!$R$1:$S$100,2,FALSE), " ")</f>
        <v xml:space="preserve"> </v>
      </c>
      <c r="AZ85" s="32"/>
      <c r="BA85" s="32"/>
      <c r="BB85" s="53"/>
      <c r="BC85" s="21" t="str">
        <f>IFERROR(VLOOKUP(July[[#This Row],[Drug Name8]],'Data Options'!$R$1:$S$100,2,FALSE), " ")</f>
        <v xml:space="preserve"> </v>
      </c>
      <c r="BD85" s="32"/>
      <c r="BE85" s="32"/>
      <c r="BF85" s="53"/>
      <c r="BG85" s="21" t="str">
        <f>IFERROR(VLOOKUP(July[[#This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21" t="str">
        <f>IFERROR(VLOOKUP(July[[#This Row],[Drug Name]],'Data Options'!$R$1:$S$100,2,FALSE), " ")</f>
        <v xml:space="preserve"> </v>
      </c>
      <c r="R86" s="32"/>
      <c r="S86" s="32"/>
      <c r="T86" s="53"/>
      <c r="U86" s="21" t="str">
        <f>IFERROR(VLOOKUP(July[[#This Row],[Drug Name2]],'Data Options'!$R$1:$S$100,2,FALSE), " ")</f>
        <v xml:space="preserve"> </v>
      </c>
      <c r="V86" s="32"/>
      <c r="W86" s="32"/>
      <c r="X86" s="53"/>
      <c r="Y86" s="21" t="str">
        <f>IFERROR(VLOOKUP(July[[#This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21" t="str">
        <f>IFERROR(VLOOKUP(July[[#This Row],[Drug Name4]],'Data Options'!$R$1:$S$100,2,FALSE), " ")</f>
        <v xml:space="preserve"> </v>
      </c>
      <c r="AI86" s="32"/>
      <c r="AJ86" s="32"/>
      <c r="AK86" s="53"/>
      <c r="AL86" s="21" t="str">
        <f>IFERROR(VLOOKUP(July[[#This Row],[Drug Name5]],'Data Options'!$R$1:$S$100,2,FALSE), " ")</f>
        <v xml:space="preserve"> </v>
      </c>
      <c r="AM86" s="32"/>
      <c r="AN86" s="32"/>
      <c r="AO86" s="53"/>
      <c r="AP86" s="21" t="str">
        <f>IFERROR(VLOOKUP(July[[#This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21" t="str">
        <f>IFERROR(VLOOKUP(July[[#This Row],[Drug Name7]],'Data Options'!$R$1:$S$100,2,FALSE), " ")</f>
        <v xml:space="preserve"> </v>
      </c>
      <c r="AZ86" s="32"/>
      <c r="BA86" s="32"/>
      <c r="BB86" s="53"/>
      <c r="BC86" s="21" t="str">
        <f>IFERROR(VLOOKUP(July[[#This Row],[Drug Name8]],'Data Options'!$R$1:$S$100,2,FALSE), " ")</f>
        <v xml:space="preserve"> </v>
      </c>
      <c r="BD86" s="32"/>
      <c r="BE86" s="32"/>
      <c r="BF86" s="53"/>
      <c r="BG86" s="21" t="str">
        <f>IFERROR(VLOOKUP(July[[#This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21" t="str">
        <f>IFERROR(VLOOKUP(July[[#This Row],[Drug Name]],'Data Options'!$R$1:$S$100,2,FALSE), " ")</f>
        <v xml:space="preserve"> </v>
      </c>
      <c r="R87" s="32"/>
      <c r="S87" s="32"/>
      <c r="T87" s="53"/>
      <c r="U87" s="21" t="str">
        <f>IFERROR(VLOOKUP(July[[#This Row],[Drug Name2]],'Data Options'!$R$1:$S$100,2,FALSE), " ")</f>
        <v xml:space="preserve"> </v>
      </c>
      <c r="V87" s="32"/>
      <c r="W87" s="32"/>
      <c r="X87" s="53"/>
      <c r="Y87" s="21" t="str">
        <f>IFERROR(VLOOKUP(July[[#This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21" t="str">
        <f>IFERROR(VLOOKUP(July[[#This Row],[Drug Name4]],'Data Options'!$R$1:$S$100,2,FALSE), " ")</f>
        <v xml:space="preserve"> </v>
      </c>
      <c r="AI87" s="32"/>
      <c r="AJ87" s="32"/>
      <c r="AK87" s="53"/>
      <c r="AL87" s="21" t="str">
        <f>IFERROR(VLOOKUP(July[[#This Row],[Drug Name5]],'Data Options'!$R$1:$S$100,2,FALSE), " ")</f>
        <v xml:space="preserve"> </v>
      </c>
      <c r="AM87" s="32"/>
      <c r="AN87" s="32"/>
      <c r="AO87" s="53"/>
      <c r="AP87" s="21" t="str">
        <f>IFERROR(VLOOKUP(July[[#This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21" t="str">
        <f>IFERROR(VLOOKUP(July[[#This Row],[Drug Name7]],'Data Options'!$R$1:$S$100,2,FALSE), " ")</f>
        <v xml:space="preserve"> </v>
      </c>
      <c r="AZ87" s="32"/>
      <c r="BA87" s="32"/>
      <c r="BB87" s="53"/>
      <c r="BC87" s="21" t="str">
        <f>IFERROR(VLOOKUP(July[[#This Row],[Drug Name8]],'Data Options'!$R$1:$S$100,2,FALSE), " ")</f>
        <v xml:space="preserve"> </v>
      </c>
      <c r="BD87" s="32"/>
      <c r="BE87" s="32"/>
      <c r="BF87" s="53"/>
      <c r="BG87" s="21" t="str">
        <f>IFERROR(VLOOKUP(July[[#This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21" t="str">
        <f>IFERROR(VLOOKUP(July[[#This Row],[Drug Name]],'Data Options'!$R$1:$S$100,2,FALSE), " ")</f>
        <v xml:space="preserve"> </v>
      </c>
      <c r="R88" s="32"/>
      <c r="S88" s="32"/>
      <c r="T88" s="53"/>
      <c r="U88" s="21" t="str">
        <f>IFERROR(VLOOKUP(July[[#This Row],[Drug Name2]],'Data Options'!$R$1:$S$100,2,FALSE), " ")</f>
        <v xml:space="preserve"> </v>
      </c>
      <c r="V88" s="32"/>
      <c r="W88" s="32"/>
      <c r="X88" s="53"/>
      <c r="Y88" s="21" t="str">
        <f>IFERROR(VLOOKUP(July[[#This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21" t="str">
        <f>IFERROR(VLOOKUP(July[[#This Row],[Drug Name4]],'Data Options'!$R$1:$S$100,2,FALSE), " ")</f>
        <v xml:space="preserve"> </v>
      </c>
      <c r="AI88" s="32"/>
      <c r="AJ88" s="32"/>
      <c r="AK88" s="53"/>
      <c r="AL88" s="21" t="str">
        <f>IFERROR(VLOOKUP(July[[#This Row],[Drug Name5]],'Data Options'!$R$1:$S$100,2,FALSE), " ")</f>
        <v xml:space="preserve"> </v>
      </c>
      <c r="AM88" s="32"/>
      <c r="AN88" s="32"/>
      <c r="AO88" s="53"/>
      <c r="AP88" s="21" t="str">
        <f>IFERROR(VLOOKUP(July[[#This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21" t="str">
        <f>IFERROR(VLOOKUP(July[[#This Row],[Drug Name7]],'Data Options'!$R$1:$S$100,2,FALSE), " ")</f>
        <v xml:space="preserve"> </v>
      </c>
      <c r="AZ88" s="32"/>
      <c r="BA88" s="32"/>
      <c r="BB88" s="53"/>
      <c r="BC88" s="21" t="str">
        <f>IFERROR(VLOOKUP(July[[#This Row],[Drug Name8]],'Data Options'!$R$1:$S$100,2,FALSE), " ")</f>
        <v xml:space="preserve"> </v>
      </c>
      <c r="BD88" s="32"/>
      <c r="BE88" s="32"/>
      <c r="BF88" s="53"/>
      <c r="BG88" s="21" t="str">
        <f>IFERROR(VLOOKUP(July[[#This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21" t="str">
        <f>IFERROR(VLOOKUP(July[[#This Row],[Drug Name]],'Data Options'!$R$1:$S$100,2,FALSE), " ")</f>
        <v xml:space="preserve"> </v>
      </c>
      <c r="R89" s="32"/>
      <c r="S89" s="32"/>
      <c r="T89" s="53"/>
      <c r="U89" s="21" t="str">
        <f>IFERROR(VLOOKUP(July[[#This Row],[Drug Name2]],'Data Options'!$R$1:$S$100,2,FALSE), " ")</f>
        <v xml:space="preserve"> </v>
      </c>
      <c r="V89" s="32"/>
      <c r="W89" s="32"/>
      <c r="X89" s="53"/>
      <c r="Y89" s="21" t="str">
        <f>IFERROR(VLOOKUP(July[[#This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21" t="str">
        <f>IFERROR(VLOOKUP(July[[#This Row],[Drug Name4]],'Data Options'!$R$1:$S$100,2,FALSE), " ")</f>
        <v xml:space="preserve"> </v>
      </c>
      <c r="AI89" s="32"/>
      <c r="AJ89" s="32"/>
      <c r="AK89" s="53"/>
      <c r="AL89" s="21" t="str">
        <f>IFERROR(VLOOKUP(July[[#This Row],[Drug Name5]],'Data Options'!$R$1:$S$100,2,FALSE), " ")</f>
        <v xml:space="preserve"> </v>
      </c>
      <c r="AM89" s="32"/>
      <c r="AN89" s="32"/>
      <c r="AO89" s="53"/>
      <c r="AP89" s="21" t="str">
        <f>IFERROR(VLOOKUP(July[[#This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21" t="str">
        <f>IFERROR(VLOOKUP(July[[#This Row],[Drug Name7]],'Data Options'!$R$1:$S$100,2,FALSE), " ")</f>
        <v xml:space="preserve"> </v>
      </c>
      <c r="AZ89" s="32"/>
      <c r="BA89" s="32"/>
      <c r="BB89" s="53"/>
      <c r="BC89" s="21" t="str">
        <f>IFERROR(VLOOKUP(July[[#This Row],[Drug Name8]],'Data Options'!$R$1:$S$100,2,FALSE), " ")</f>
        <v xml:space="preserve"> </v>
      </c>
      <c r="BD89" s="32"/>
      <c r="BE89" s="32"/>
      <c r="BF89" s="53"/>
      <c r="BG89" s="21" t="str">
        <f>IFERROR(VLOOKUP(July[[#This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21" t="str">
        <f>IFERROR(VLOOKUP(July[[#This Row],[Drug Name]],'Data Options'!$R$1:$S$100,2,FALSE), " ")</f>
        <v xml:space="preserve"> </v>
      </c>
      <c r="R90" s="32"/>
      <c r="S90" s="32"/>
      <c r="T90" s="53"/>
      <c r="U90" s="21" t="str">
        <f>IFERROR(VLOOKUP(July[[#This Row],[Drug Name2]],'Data Options'!$R$1:$S$100,2,FALSE), " ")</f>
        <v xml:space="preserve"> </v>
      </c>
      <c r="V90" s="32"/>
      <c r="W90" s="32"/>
      <c r="X90" s="53"/>
      <c r="Y90" s="21" t="str">
        <f>IFERROR(VLOOKUP(July[[#This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21" t="str">
        <f>IFERROR(VLOOKUP(July[[#This Row],[Drug Name4]],'Data Options'!$R$1:$S$100,2,FALSE), " ")</f>
        <v xml:space="preserve"> </v>
      </c>
      <c r="AI90" s="32"/>
      <c r="AJ90" s="32"/>
      <c r="AK90" s="53"/>
      <c r="AL90" s="21" t="str">
        <f>IFERROR(VLOOKUP(July[[#This Row],[Drug Name5]],'Data Options'!$R$1:$S$100,2,FALSE), " ")</f>
        <v xml:space="preserve"> </v>
      </c>
      <c r="AM90" s="32"/>
      <c r="AN90" s="32"/>
      <c r="AO90" s="53"/>
      <c r="AP90" s="21" t="str">
        <f>IFERROR(VLOOKUP(July[[#This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21" t="str">
        <f>IFERROR(VLOOKUP(July[[#This Row],[Drug Name7]],'Data Options'!$R$1:$S$100,2,FALSE), " ")</f>
        <v xml:space="preserve"> </v>
      </c>
      <c r="AZ90" s="32"/>
      <c r="BA90" s="32"/>
      <c r="BB90" s="53"/>
      <c r="BC90" s="21" t="str">
        <f>IFERROR(VLOOKUP(July[[#This Row],[Drug Name8]],'Data Options'!$R$1:$S$100,2,FALSE), " ")</f>
        <v xml:space="preserve"> </v>
      </c>
      <c r="BD90" s="32"/>
      <c r="BE90" s="32"/>
      <c r="BF90" s="53"/>
      <c r="BG90" s="21" t="str">
        <f>IFERROR(VLOOKUP(July[[#This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21" t="str">
        <f>IFERROR(VLOOKUP(July[[#This Row],[Drug Name]],'Data Options'!$R$1:$S$100,2,FALSE), " ")</f>
        <v xml:space="preserve"> </v>
      </c>
      <c r="R91" s="32"/>
      <c r="S91" s="32"/>
      <c r="T91" s="53"/>
      <c r="U91" s="21" t="str">
        <f>IFERROR(VLOOKUP(July[[#This Row],[Drug Name2]],'Data Options'!$R$1:$S$100,2,FALSE), " ")</f>
        <v xml:space="preserve"> </v>
      </c>
      <c r="V91" s="32"/>
      <c r="W91" s="32"/>
      <c r="X91" s="53"/>
      <c r="Y91" s="21" t="str">
        <f>IFERROR(VLOOKUP(July[[#This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21" t="str">
        <f>IFERROR(VLOOKUP(July[[#This Row],[Drug Name4]],'Data Options'!$R$1:$S$100,2,FALSE), " ")</f>
        <v xml:space="preserve"> </v>
      </c>
      <c r="AI91" s="32"/>
      <c r="AJ91" s="32"/>
      <c r="AK91" s="53"/>
      <c r="AL91" s="21" t="str">
        <f>IFERROR(VLOOKUP(July[[#This Row],[Drug Name5]],'Data Options'!$R$1:$S$100,2,FALSE), " ")</f>
        <v xml:space="preserve"> </v>
      </c>
      <c r="AM91" s="32"/>
      <c r="AN91" s="32"/>
      <c r="AO91" s="53"/>
      <c r="AP91" s="21" t="str">
        <f>IFERROR(VLOOKUP(July[[#This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21" t="str">
        <f>IFERROR(VLOOKUP(July[[#This Row],[Drug Name7]],'Data Options'!$R$1:$S$100,2,FALSE), " ")</f>
        <v xml:space="preserve"> </v>
      </c>
      <c r="AZ91" s="32"/>
      <c r="BA91" s="32"/>
      <c r="BB91" s="53"/>
      <c r="BC91" s="21" t="str">
        <f>IFERROR(VLOOKUP(July[[#This Row],[Drug Name8]],'Data Options'!$R$1:$S$100,2,FALSE), " ")</f>
        <v xml:space="preserve"> </v>
      </c>
      <c r="BD91" s="32"/>
      <c r="BE91" s="32"/>
      <c r="BF91" s="53"/>
      <c r="BG91" s="21" t="str">
        <f>IFERROR(VLOOKUP(July[[#This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21" t="str">
        <f>IFERROR(VLOOKUP(July[[#This Row],[Drug Name]],'Data Options'!$R$1:$S$100,2,FALSE), " ")</f>
        <v xml:space="preserve"> </v>
      </c>
      <c r="R92" s="32"/>
      <c r="S92" s="32"/>
      <c r="T92" s="53"/>
      <c r="U92" s="21" t="str">
        <f>IFERROR(VLOOKUP(July[[#This Row],[Drug Name2]],'Data Options'!$R$1:$S$100,2,FALSE), " ")</f>
        <v xml:space="preserve"> </v>
      </c>
      <c r="V92" s="32"/>
      <c r="W92" s="32"/>
      <c r="X92" s="53"/>
      <c r="Y92" s="21" t="str">
        <f>IFERROR(VLOOKUP(July[[#This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21" t="str">
        <f>IFERROR(VLOOKUP(July[[#This Row],[Drug Name4]],'Data Options'!$R$1:$S$100,2,FALSE), " ")</f>
        <v xml:space="preserve"> </v>
      </c>
      <c r="AI92" s="32"/>
      <c r="AJ92" s="32"/>
      <c r="AK92" s="53"/>
      <c r="AL92" s="21" t="str">
        <f>IFERROR(VLOOKUP(July[[#This Row],[Drug Name5]],'Data Options'!$R$1:$S$100,2,FALSE), " ")</f>
        <v xml:space="preserve"> </v>
      </c>
      <c r="AM92" s="32"/>
      <c r="AN92" s="32"/>
      <c r="AO92" s="53"/>
      <c r="AP92" s="21" t="str">
        <f>IFERROR(VLOOKUP(July[[#This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21" t="str">
        <f>IFERROR(VLOOKUP(July[[#This Row],[Drug Name7]],'Data Options'!$R$1:$S$100,2,FALSE), " ")</f>
        <v xml:space="preserve"> </v>
      </c>
      <c r="AZ92" s="32"/>
      <c r="BA92" s="32"/>
      <c r="BB92" s="53"/>
      <c r="BC92" s="21" t="str">
        <f>IFERROR(VLOOKUP(July[[#This Row],[Drug Name8]],'Data Options'!$R$1:$S$100,2,FALSE), " ")</f>
        <v xml:space="preserve"> </v>
      </c>
      <c r="BD92" s="32"/>
      <c r="BE92" s="32"/>
      <c r="BF92" s="53"/>
      <c r="BG92" s="21" t="str">
        <f>IFERROR(VLOOKUP(July[[#This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21" t="str">
        <f>IFERROR(VLOOKUP(July[[#This Row],[Drug Name]],'Data Options'!$R$1:$S$100,2,FALSE), " ")</f>
        <v xml:space="preserve"> </v>
      </c>
      <c r="R93" s="32"/>
      <c r="S93" s="32"/>
      <c r="T93" s="53"/>
      <c r="U93" s="21" t="str">
        <f>IFERROR(VLOOKUP(July[[#This Row],[Drug Name2]],'Data Options'!$R$1:$S$100,2,FALSE), " ")</f>
        <v xml:space="preserve"> </v>
      </c>
      <c r="V93" s="32"/>
      <c r="W93" s="32"/>
      <c r="X93" s="53"/>
      <c r="Y93" s="21" t="str">
        <f>IFERROR(VLOOKUP(July[[#This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21" t="str">
        <f>IFERROR(VLOOKUP(July[[#This Row],[Drug Name4]],'Data Options'!$R$1:$S$100,2,FALSE), " ")</f>
        <v xml:space="preserve"> </v>
      </c>
      <c r="AI93" s="32"/>
      <c r="AJ93" s="32"/>
      <c r="AK93" s="53"/>
      <c r="AL93" s="21" t="str">
        <f>IFERROR(VLOOKUP(July[[#This Row],[Drug Name5]],'Data Options'!$R$1:$S$100,2,FALSE), " ")</f>
        <v xml:space="preserve"> </v>
      </c>
      <c r="AM93" s="32"/>
      <c r="AN93" s="32"/>
      <c r="AO93" s="53"/>
      <c r="AP93" s="21" t="str">
        <f>IFERROR(VLOOKUP(July[[#This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21" t="str">
        <f>IFERROR(VLOOKUP(July[[#This Row],[Drug Name7]],'Data Options'!$R$1:$S$100,2,FALSE), " ")</f>
        <v xml:space="preserve"> </v>
      </c>
      <c r="AZ93" s="32"/>
      <c r="BA93" s="32"/>
      <c r="BB93" s="53"/>
      <c r="BC93" s="21" t="str">
        <f>IFERROR(VLOOKUP(July[[#This Row],[Drug Name8]],'Data Options'!$R$1:$S$100,2,FALSE), " ")</f>
        <v xml:space="preserve"> </v>
      </c>
      <c r="BD93" s="32"/>
      <c r="BE93" s="32"/>
      <c r="BF93" s="53"/>
      <c r="BG93" s="21" t="str">
        <f>IFERROR(VLOOKUP(July[[#This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21" t="str">
        <f>IFERROR(VLOOKUP(July[[#This Row],[Drug Name]],'Data Options'!$R$1:$S$100,2,FALSE), " ")</f>
        <v xml:space="preserve"> </v>
      </c>
      <c r="R94" s="32"/>
      <c r="S94" s="32"/>
      <c r="T94" s="53"/>
      <c r="U94" s="21" t="str">
        <f>IFERROR(VLOOKUP(July[[#This Row],[Drug Name2]],'Data Options'!$R$1:$S$100,2,FALSE), " ")</f>
        <v xml:space="preserve"> </v>
      </c>
      <c r="V94" s="32"/>
      <c r="W94" s="32"/>
      <c r="X94" s="53"/>
      <c r="Y94" s="21" t="str">
        <f>IFERROR(VLOOKUP(July[[#This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21" t="str">
        <f>IFERROR(VLOOKUP(July[[#This Row],[Drug Name4]],'Data Options'!$R$1:$S$100,2,FALSE), " ")</f>
        <v xml:space="preserve"> </v>
      </c>
      <c r="AI94" s="32"/>
      <c r="AJ94" s="32"/>
      <c r="AK94" s="53"/>
      <c r="AL94" s="21" t="str">
        <f>IFERROR(VLOOKUP(July[[#This Row],[Drug Name5]],'Data Options'!$R$1:$S$100,2,FALSE), " ")</f>
        <v xml:space="preserve"> </v>
      </c>
      <c r="AM94" s="32"/>
      <c r="AN94" s="32"/>
      <c r="AO94" s="53"/>
      <c r="AP94" s="21" t="str">
        <f>IFERROR(VLOOKUP(July[[#This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21" t="str">
        <f>IFERROR(VLOOKUP(July[[#This Row],[Drug Name7]],'Data Options'!$R$1:$S$100,2,FALSE), " ")</f>
        <v xml:space="preserve"> </v>
      </c>
      <c r="AZ94" s="32"/>
      <c r="BA94" s="32"/>
      <c r="BB94" s="53"/>
      <c r="BC94" s="21" t="str">
        <f>IFERROR(VLOOKUP(July[[#This Row],[Drug Name8]],'Data Options'!$R$1:$S$100,2,FALSE), " ")</f>
        <v xml:space="preserve"> </v>
      </c>
      <c r="BD94" s="32"/>
      <c r="BE94" s="32"/>
      <c r="BF94" s="53"/>
      <c r="BG94" s="21" t="str">
        <f>IFERROR(VLOOKUP(July[[#This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21" t="str">
        <f>IFERROR(VLOOKUP(July[[#This Row],[Drug Name]],'Data Options'!$R$1:$S$100,2,FALSE), " ")</f>
        <v xml:space="preserve"> </v>
      </c>
      <c r="R95" s="32"/>
      <c r="S95" s="32"/>
      <c r="T95" s="53"/>
      <c r="U95" s="21" t="str">
        <f>IFERROR(VLOOKUP(July[[#This Row],[Drug Name2]],'Data Options'!$R$1:$S$100,2,FALSE), " ")</f>
        <v xml:space="preserve"> </v>
      </c>
      <c r="V95" s="32"/>
      <c r="W95" s="32"/>
      <c r="X95" s="53"/>
      <c r="Y95" s="21" t="str">
        <f>IFERROR(VLOOKUP(July[[#This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21" t="str">
        <f>IFERROR(VLOOKUP(July[[#This Row],[Drug Name4]],'Data Options'!$R$1:$S$100,2,FALSE), " ")</f>
        <v xml:space="preserve"> </v>
      </c>
      <c r="AI95" s="32"/>
      <c r="AJ95" s="32"/>
      <c r="AK95" s="53"/>
      <c r="AL95" s="21" t="str">
        <f>IFERROR(VLOOKUP(July[[#This Row],[Drug Name5]],'Data Options'!$R$1:$S$100,2,FALSE), " ")</f>
        <v xml:space="preserve"> </v>
      </c>
      <c r="AM95" s="32"/>
      <c r="AN95" s="32"/>
      <c r="AO95" s="53"/>
      <c r="AP95" s="21" t="str">
        <f>IFERROR(VLOOKUP(July[[#This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21" t="str">
        <f>IFERROR(VLOOKUP(July[[#This Row],[Drug Name7]],'Data Options'!$R$1:$S$100,2,FALSE), " ")</f>
        <v xml:space="preserve"> </v>
      </c>
      <c r="AZ95" s="32"/>
      <c r="BA95" s="32"/>
      <c r="BB95" s="53"/>
      <c r="BC95" s="21" t="str">
        <f>IFERROR(VLOOKUP(July[[#This Row],[Drug Name8]],'Data Options'!$R$1:$S$100,2,FALSE), " ")</f>
        <v xml:space="preserve"> </v>
      </c>
      <c r="BD95" s="32"/>
      <c r="BE95" s="32"/>
      <c r="BF95" s="53"/>
      <c r="BG95" s="21" t="str">
        <f>IFERROR(VLOOKUP(July[[#This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21" t="str">
        <f>IFERROR(VLOOKUP(July[[#This Row],[Drug Name]],'Data Options'!$R$1:$S$100,2,FALSE), " ")</f>
        <v xml:space="preserve"> </v>
      </c>
      <c r="R96" s="32"/>
      <c r="S96" s="32"/>
      <c r="T96" s="53"/>
      <c r="U96" s="21" t="str">
        <f>IFERROR(VLOOKUP(July[[#This Row],[Drug Name2]],'Data Options'!$R$1:$S$100,2,FALSE), " ")</f>
        <v xml:space="preserve"> </v>
      </c>
      <c r="V96" s="32"/>
      <c r="W96" s="32"/>
      <c r="X96" s="53"/>
      <c r="Y96" s="21" t="str">
        <f>IFERROR(VLOOKUP(July[[#This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21" t="str">
        <f>IFERROR(VLOOKUP(July[[#This Row],[Drug Name4]],'Data Options'!$R$1:$S$100,2,FALSE), " ")</f>
        <v xml:space="preserve"> </v>
      </c>
      <c r="AI96" s="32"/>
      <c r="AJ96" s="32"/>
      <c r="AK96" s="53"/>
      <c r="AL96" s="21" t="str">
        <f>IFERROR(VLOOKUP(July[[#This Row],[Drug Name5]],'Data Options'!$R$1:$S$100,2,FALSE), " ")</f>
        <v xml:space="preserve"> </v>
      </c>
      <c r="AM96" s="32"/>
      <c r="AN96" s="32"/>
      <c r="AO96" s="53"/>
      <c r="AP96" s="21" t="str">
        <f>IFERROR(VLOOKUP(July[[#This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21" t="str">
        <f>IFERROR(VLOOKUP(July[[#This Row],[Drug Name7]],'Data Options'!$R$1:$S$100,2,FALSE), " ")</f>
        <v xml:space="preserve"> </v>
      </c>
      <c r="AZ96" s="32"/>
      <c r="BA96" s="32"/>
      <c r="BB96" s="53"/>
      <c r="BC96" s="21" t="str">
        <f>IFERROR(VLOOKUP(July[[#This Row],[Drug Name8]],'Data Options'!$R$1:$S$100,2,FALSE), " ")</f>
        <v xml:space="preserve"> </v>
      </c>
      <c r="BD96" s="32"/>
      <c r="BE96" s="32"/>
      <c r="BF96" s="53"/>
      <c r="BG96" s="21" t="str">
        <f>IFERROR(VLOOKUP(July[[#This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21" t="str">
        <f>IFERROR(VLOOKUP(July[[#This Row],[Drug Name]],'Data Options'!$R$1:$S$100,2,FALSE), " ")</f>
        <v xml:space="preserve"> </v>
      </c>
      <c r="R97" s="32"/>
      <c r="S97" s="32"/>
      <c r="T97" s="53"/>
      <c r="U97" s="21" t="str">
        <f>IFERROR(VLOOKUP(July[[#This Row],[Drug Name2]],'Data Options'!$R$1:$S$100,2,FALSE), " ")</f>
        <v xml:space="preserve"> </v>
      </c>
      <c r="V97" s="32"/>
      <c r="W97" s="32"/>
      <c r="X97" s="53"/>
      <c r="Y97" s="21" t="str">
        <f>IFERROR(VLOOKUP(July[[#This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21" t="str">
        <f>IFERROR(VLOOKUP(July[[#This Row],[Drug Name4]],'Data Options'!$R$1:$S$100,2,FALSE), " ")</f>
        <v xml:space="preserve"> </v>
      </c>
      <c r="AI97" s="32"/>
      <c r="AJ97" s="32"/>
      <c r="AK97" s="53"/>
      <c r="AL97" s="21" t="str">
        <f>IFERROR(VLOOKUP(July[[#This Row],[Drug Name5]],'Data Options'!$R$1:$S$100,2,FALSE), " ")</f>
        <v xml:space="preserve"> </v>
      </c>
      <c r="AM97" s="32"/>
      <c r="AN97" s="32"/>
      <c r="AO97" s="53"/>
      <c r="AP97" s="21" t="str">
        <f>IFERROR(VLOOKUP(July[[#This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21" t="str">
        <f>IFERROR(VLOOKUP(July[[#This Row],[Drug Name7]],'Data Options'!$R$1:$S$100,2,FALSE), " ")</f>
        <v xml:space="preserve"> </v>
      </c>
      <c r="AZ97" s="32"/>
      <c r="BA97" s="32"/>
      <c r="BB97" s="53"/>
      <c r="BC97" s="21" t="str">
        <f>IFERROR(VLOOKUP(July[[#This Row],[Drug Name8]],'Data Options'!$R$1:$S$100,2,FALSE), " ")</f>
        <v xml:space="preserve"> </v>
      </c>
      <c r="BD97" s="32"/>
      <c r="BE97" s="32"/>
      <c r="BF97" s="53"/>
      <c r="BG97" s="21" t="str">
        <f>IFERROR(VLOOKUP(July[[#This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21" t="str">
        <f>IFERROR(VLOOKUP(July[[#This Row],[Drug Name]],'Data Options'!$R$1:$S$100,2,FALSE), " ")</f>
        <v xml:space="preserve"> </v>
      </c>
      <c r="R98" s="32"/>
      <c r="S98" s="32"/>
      <c r="T98" s="53"/>
      <c r="U98" s="21" t="str">
        <f>IFERROR(VLOOKUP(July[[#This Row],[Drug Name2]],'Data Options'!$R$1:$S$100,2,FALSE), " ")</f>
        <v xml:space="preserve"> </v>
      </c>
      <c r="V98" s="32"/>
      <c r="W98" s="32"/>
      <c r="X98" s="53"/>
      <c r="Y98" s="21" t="str">
        <f>IFERROR(VLOOKUP(July[[#This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21" t="str">
        <f>IFERROR(VLOOKUP(July[[#This Row],[Drug Name4]],'Data Options'!$R$1:$S$100,2,FALSE), " ")</f>
        <v xml:space="preserve"> </v>
      </c>
      <c r="AI98" s="32"/>
      <c r="AJ98" s="32"/>
      <c r="AK98" s="53"/>
      <c r="AL98" s="21" t="str">
        <f>IFERROR(VLOOKUP(July[[#This Row],[Drug Name5]],'Data Options'!$R$1:$S$100,2,FALSE), " ")</f>
        <v xml:space="preserve"> </v>
      </c>
      <c r="AM98" s="32"/>
      <c r="AN98" s="32"/>
      <c r="AO98" s="53"/>
      <c r="AP98" s="21" t="str">
        <f>IFERROR(VLOOKUP(July[[#This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21" t="str">
        <f>IFERROR(VLOOKUP(July[[#This Row],[Drug Name7]],'Data Options'!$R$1:$S$100,2,FALSE), " ")</f>
        <v xml:space="preserve"> </v>
      </c>
      <c r="AZ98" s="32"/>
      <c r="BA98" s="32"/>
      <c r="BB98" s="53"/>
      <c r="BC98" s="21" t="str">
        <f>IFERROR(VLOOKUP(July[[#This Row],[Drug Name8]],'Data Options'!$R$1:$S$100,2,FALSE), " ")</f>
        <v xml:space="preserve"> </v>
      </c>
      <c r="BD98" s="32"/>
      <c r="BE98" s="32"/>
      <c r="BF98" s="53"/>
      <c r="BG98" s="21" t="str">
        <f>IFERROR(VLOOKUP(July[[#This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21" t="str">
        <f>IFERROR(VLOOKUP(July[[#This Row],[Drug Name]],'Data Options'!$R$1:$S$100,2,FALSE), " ")</f>
        <v xml:space="preserve"> </v>
      </c>
      <c r="R99" s="32"/>
      <c r="S99" s="32"/>
      <c r="T99" s="53"/>
      <c r="U99" s="21" t="str">
        <f>IFERROR(VLOOKUP(July[[#This Row],[Drug Name2]],'Data Options'!$R$1:$S$100,2,FALSE), " ")</f>
        <v xml:space="preserve"> </v>
      </c>
      <c r="V99" s="32"/>
      <c r="W99" s="32"/>
      <c r="X99" s="53"/>
      <c r="Y99" s="21" t="str">
        <f>IFERROR(VLOOKUP(July[[#This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21" t="str">
        <f>IFERROR(VLOOKUP(July[[#This Row],[Drug Name4]],'Data Options'!$R$1:$S$100,2,FALSE), " ")</f>
        <v xml:space="preserve"> </v>
      </c>
      <c r="AI99" s="32"/>
      <c r="AJ99" s="32"/>
      <c r="AK99" s="53"/>
      <c r="AL99" s="21" t="str">
        <f>IFERROR(VLOOKUP(July[[#This Row],[Drug Name5]],'Data Options'!$R$1:$S$100,2,FALSE), " ")</f>
        <v xml:space="preserve"> </v>
      </c>
      <c r="AM99" s="32"/>
      <c r="AN99" s="32"/>
      <c r="AO99" s="53"/>
      <c r="AP99" s="21" t="str">
        <f>IFERROR(VLOOKUP(July[[#This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21" t="str">
        <f>IFERROR(VLOOKUP(July[[#This Row],[Drug Name7]],'Data Options'!$R$1:$S$100,2,FALSE), " ")</f>
        <v xml:space="preserve"> </v>
      </c>
      <c r="AZ99" s="32"/>
      <c r="BA99" s="32"/>
      <c r="BB99" s="53"/>
      <c r="BC99" s="21" t="str">
        <f>IFERROR(VLOOKUP(July[[#This Row],[Drug Name8]],'Data Options'!$R$1:$S$100,2,FALSE), " ")</f>
        <v xml:space="preserve"> </v>
      </c>
      <c r="BD99" s="32"/>
      <c r="BE99" s="32"/>
      <c r="BF99" s="53"/>
      <c r="BG99" s="21" t="str">
        <f>IFERROR(VLOOKUP(July[[#This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21" t="str">
        <f>IFERROR(VLOOKUP(July[[#This Row],[Drug Name]],'Data Options'!$R$1:$S$100,2,FALSE), " ")</f>
        <v xml:space="preserve"> </v>
      </c>
      <c r="R100" s="32"/>
      <c r="S100" s="32"/>
      <c r="T100" s="53"/>
      <c r="U100" s="21" t="str">
        <f>IFERROR(VLOOKUP(July[[#This Row],[Drug Name2]],'Data Options'!$R$1:$S$100,2,FALSE), " ")</f>
        <v xml:space="preserve"> </v>
      </c>
      <c r="V100" s="32"/>
      <c r="W100" s="32"/>
      <c r="X100" s="53"/>
      <c r="Y100" s="21" t="str">
        <f>IFERROR(VLOOKUP(July[[#This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21" t="str">
        <f>IFERROR(VLOOKUP(July[[#This Row],[Drug Name4]],'Data Options'!$R$1:$S$100,2,FALSE), " ")</f>
        <v xml:space="preserve"> </v>
      </c>
      <c r="AI100" s="32"/>
      <c r="AJ100" s="32"/>
      <c r="AK100" s="53"/>
      <c r="AL100" s="21" t="str">
        <f>IFERROR(VLOOKUP(July[[#This Row],[Drug Name5]],'Data Options'!$R$1:$S$100,2,FALSE), " ")</f>
        <v xml:space="preserve"> </v>
      </c>
      <c r="AM100" s="32"/>
      <c r="AN100" s="32"/>
      <c r="AO100" s="53"/>
      <c r="AP100" s="21" t="str">
        <f>IFERROR(VLOOKUP(July[[#This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21" t="str">
        <f>IFERROR(VLOOKUP(July[[#This Row],[Drug Name7]],'Data Options'!$R$1:$S$100,2,FALSE), " ")</f>
        <v xml:space="preserve"> </v>
      </c>
      <c r="AZ100" s="32"/>
      <c r="BA100" s="32"/>
      <c r="BB100" s="53"/>
      <c r="BC100" s="21" t="str">
        <f>IFERROR(VLOOKUP(July[[#This Row],[Drug Name8]],'Data Options'!$R$1:$S$100,2,FALSE), " ")</f>
        <v xml:space="preserve"> </v>
      </c>
      <c r="BD100" s="32"/>
      <c r="BE100" s="32"/>
      <c r="BF100" s="53"/>
      <c r="BG100" s="21" t="str">
        <f>IFERROR(VLOOKUP(July[[#This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21" t="str">
        <f>IFERROR(VLOOKUP(July[[#This Row],[Drug Name]],'Data Options'!$R$1:$S$100,2,FALSE), " ")</f>
        <v xml:space="preserve"> </v>
      </c>
      <c r="R101" s="32"/>
      <c r="S101" s="32"/>
      <c r="T101" s="53"/>
      <c r="U101" s="21" t="str">
        <f>IFERROR(VLOOKUP(July[[#This Row],[Drug Name2]],'Data Options'!$R$1:$S$100,2,FALSE), " ")</f>
        <v xml:space="preserve"> </v>
      </c>
      <c r="V101" s="32"/>
      <c r="W101" s="32"/>
      <c r="X101" s="53"/>
      <c r="Y101" s="21" t="str">
        <f>IFERROR(VLOOKUP(July[[#This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21" t="str">
        <f>IFERROR(VLOOKUP(July[[#This Row],[Drug Name4]],'Data Options'!$R$1:$S$100,2,FALSE), " ")</f>
        <v xml:space="preserve"> </v>
      </c>
      <c r="AI101" s="32"/>
      <c r="AJ101" s="32"/>
      <c r="AK101" s="53"/>
      <c r="AL101" s="21" t="str">
        <f>IFERROR(VLOOKUP(July[[#This Row],[Drug Name5]],'Data Options'!$R$1:$S$100,2,FALSE), " ")</f>
        <v xml:space="preserve"> </v>
      </c>
      <c r="AM101" s="32"/>
      <c r="AN101" s="32"/>
      <c r="AO101" s="53"/>
      <c r="AP101" s="21" t="str">
        <f>IFERROR(VLOOKUP(July[[#This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21" t="str">
        <f>IFERROR(VLOOKUP(July[[#This Row],[Drug Name7]],'Data Options'!$R$1:$S$100,2,FALSE), " ")</f>
        <v xml:space="preserve"> </v>
      </c>
      <c r="AZ101" s="32"/>
      <c r="BA101" s="32"/>
      <c r="BB101" s="53"/>
      <c r="BC101" s="21" t="str">
        <f>IFERROR(VLOOKUP(July[[#This Row],[Drug Name8]],'Data Options'!$R$1:$S$100,2,FALSE), " ")</f>
        <v xml:space="preserve"> </v>
      </c>
      <c r="BD101" s="32"/>
      <c r="BE101" s="32"/>
      <c r="BF101" s="53"/>
      <c r="BG101" s="21" t="str">
        <f>IFERROR(VLOOKUP(July[[#This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21" t="str">
        <f>IFERROR(VLOOKUP(July[[#This Row],[Drug Name]],'Data Options'!$R$1:$S$100,2,FALSE), " ")</f>
        <v xml:space="preserve"> </v>
      </c>
      <c r="R102" s="32"/>
      <c r="S102" s="32"/>
      <c r="T102" s="53"/>
      <c r="U102" s="21" t="str">
        <f>IFERROR(VLOOKUP(July[[#This Row],[Drug Name2]],'Data Options'!$R$1:$S$100,2,FALSE), " ")</f>
        <v xml:space="preserve"> </v>
      </c>
      <c r="V102" s="32"/>
      <c r="W102" s="32"/>
      <c r="X102" s="53"/>
      <c r="Y102" s="21" t="str">
        <f>IFERROR(VLOOKUP(July[[#This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21" t="str">
        <f>IFERROR(VLOOKUP(July[[#This Row],[Drug Name4]],'Data Options'!$R$1:$S$100,2,FALSE), " ")</f>
        <v xml:space="preserve"> </v>
      </c>
      <c r="AI102" s="32"/>
      <c r="AJ102" s="32"/>
      <c r="AK102" s="53"/>
      <c r="AL102" s="21" t="str">
        <f>IFERROR(VLOOKUP(July[[#This Row],[Drug Name5]],'Data Options'!$R$1:$S$100,2,FALSE), " ")</f>
        <v xml:space="preserve"> </v>
      </c>
      <c r="AM102" s="32"/>
      <c r="AN102" s="32"/>
      <c r="AO102" s="53"/>
      <c r="AP102" s="21" t="str">
        <f>IFERROR(VLOOKUP(July[[#This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21" t="str">
        <f>IFERROR(VLOOKUP(July[[#This Row],[Drug Name7]],'Data Options'!$R$1:$S$100,2,FALSE), " ")</f>
        <v xml:space="preserve"> </v>
      </c>
      <c r="AZ102" s="32"/>
      <c r="BA102" s="32"/>
      <c r="BB102" s="53"/>
      <c r="BC102" s="21" t="str">
        <f>IFERROR(VLOOKUP(July[[#This Row],[Drug Name8]],'Data Options'!$R$1:$S$100,2,FALSE), " ")</f>
        <v xml:space="preserve"> </v>
      </c>
      <c r="BD102" s="32"/>
      <c r="BE102" s="32"/>
      <c r="BF102" s="53"/>
      <c r="BG102" s="21" t="str">
        <f>IFERROR(VLOOKUP(July[[#This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21" t="str">
        <f>IFERROR(VLOOKUP(July[[#This Row],[Drug Name]],'Data Options'!$R$1:$S$100,2,FALSE), " ")</f>
        <v xml:space="preserve"> </v>
      </c>
      <c r="R103" s="32"/>
      <c r="S103" s="32"/>
      <c r="T103" s="53"/>
      <c r="U103" s="21" t="str">
        <f>IFERROR(VLOOKUP(July[[#This Row],[Drug Name2]],'Data Options'!$R$1:$S$100,2,FALSE), " ")</f>
        <v xml:space="preserve"> </v>
      </c>
      <c r="V103" s="32"/>
      <c r="W103" s="32"/>
      <c r="X103" s="53"/>
      <c r="Y103" s="21" t="str">
        <f>IFERROR(VLOOKUP(July[[#This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21" t="str">
        <f>IFERROR(VLOOKUP(July[[#This Row],[Drug Name4]],'Data Options'!$R$1:$S$100,2,FALSE), " ")</f>
        <v xml:space="preserve"> </v>
      </c>
      <c r="AI103" s="32"/>
      <c r="AJ103" s="32"/>
      <c r="AK103" s="53"/>
      <c r="AL103" s="21" t="str">
        <f>IFERROR(VLOOKUP(July[[#This Row],[Drug Name5]],'Data Options'!$R$1:$S$100,2,FALSE), " ")</f>
        <v xml:space="preserve"> </v>
      </c>
      <c r="AM103" s="32"/>
      <c r="AN103" s="32"/>
      <c r="AO103" s="53"/>
      <c r="AP103" s="21" t="str">
        <f>IFERROR(VLOOKUP(July[[#This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21" t="str">
        <f>IFERROR(VLOOKUP(July[[#This Row],[Drug Name7]],'Data Options'!$R$1:$S$100,2,FALSE), " ")</f>
        <v xml:space="preserve"> </v>
      </c>
      <c r="AZ103" s="32"/>
      <c r="BA103" s="32"/>
      <c r="BB103" s="53"/>
      <c r="BC103" s="21" t="str">
        <f>IFERROR(VLOOKUP(July[[#This Row],[Drug Name8]],'Data Options'!$R$1:$S$100,2,FALSE), " ")</f>
        <v xml:space="preserve"> </v>
      </c>
      <c r="BD103" s="32"/>
      <c r="BE103" s="32"/>
      <c r="BF103" s="53"/>
      <c r="BG103" s="21" t="str">
        <f>IFERROR(VLOOKUP(July[[#This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21" t="str">
        <f>IFERROR(VLOOKUP(July[[#This Row],[Drug Name]],'Data Options'!$R$1:$S$100,2,FALSE), " ")</f>
        <v xml:space="preserve"> </v>
      </c>
      <c r="R104" s="32"/>
      <c r="S104" s="32"/>
      <c r="T104" s="53"/>
      <c r="U104" s="21" t="str">
        <f>IFERROR(VLOOKUP(July[[#This Row],[Drug Name2]],'Data Options'!$R$1:$S$100,2,FALSE), " ")</f>
        <v xml:space="preserve"> </v>
      </c>
      <c r="V104" s="32"/>
      <c r="W104" s="32"/>
      <c r="X104" s="53"/>
      <c r="Y104" s="21" t="str">
        <f>IFERROR(VLOOKUP(July[[#This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21" t="str">
        <f>IFERROR(VLOOKUP(July[[#This Row],[Drug Name4]],'Data Options'!$R$1:$S$100,2,FALSE), " ")</f>
        <v xml:space="preserve"> </v>
      </c>
      <c r="AI104" s="32"/>
      <c r="AJ104" s="32"/>
      <c r="AK104" s="53"/>
      <c r="AL104" s="21" t="str">
        <f>IFERROR(VLOOKUP(July[[#This Row],[Drug Name5]],'Data Options'!$R$1:$S$100,2,FALSE), " ")</f>
        <v xml:space="preserve"> </v>
      </c>
      <c r="AM104" s="32"/>
      <c r="AN104" s="32"/>
      <c r="AO104" s="53"/>
      <c r="AP104" s="21" t="str">
        <f>IFERROR(VLOOKUP(July[[#This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21" t="str">
        <f>IFERROR(VLOOKUP(July[[#This Row],[Drug Name7]],'Data Options'!$R$1:$S$100,2,FALSE), " ")</f>
        <v xml:space="preserve"> </v>
      </c>
      <c r="AZ104" s="32"/>
      <c r="BA104" s="32"/>
      <c r="BB104" s="53"/>
      <c r="BC104" s="21" t="str">
        <f>IFERROR(VLOOKUP(July[[#This Row],[Drug Name8]],'Data Options'!$R$1:$S$100,2,FALSE), " ")</f>
        <v xml:space="preserve"> </v>
      </c>
      <c r="BD104" s="32"/>
      <c r="BE104" s="32"/>
      <c r="BF104" s="53"/>
      <c r="BG104" s="21" t="str">
        <f>IFERROR(VLOOKUP(July[[#This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21" t="str">
        <f>IFERROR(VLOOKUP(July[[#This Row],[Drug Name]],'Data Options'!$R$1:$S$100,2,FALSE), " ")</f>
        <v xml:space="preserve"> </v>
      </c>
      <c r="R105" s="32"/>
      <c r="S105" s="32"/>
      <c r="T105" s="53"/>
      <c r="U105" s="21" t="str">
        <f>IFERROR(VLOOKUP(July[[#This Row],[Drug Name2]],'Data Options'!$R$1:$S$100,2,FALSE), " ")</f>
        <v xml:space="preserve"> </v>
      </c>
      <c r="V105" s="32"/>
      <c r="W105" s="32"/>
      <c r="X105" s="53"/>
      <c r="Y105" s="21" t="str">
        <f>IFERROR(VLOOKUP(July[[#This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21" t="str">
        <f>IFERROR(VLOOKUP(July[[#This Row],[Drug Name4]],'Data Options'!$R$1:$S$100,2,FALSE), " ")</f>
        <v xml:space="preserve"> </v>
      </c>
      <c r="AI105" s="32"/>
      <c r="AJ105" s="32"/>
      <c r="AK105" s="53"/>
      <c r="AL105" s="21" t="str">
        <f>IFERROR(VLOOKUP(July[[#This Row],[Drug Name5]],'Data Options'!$R$1:$S$100,2,FALSE), " ")</f>
        <v xml:space="preserve"> </v>
      </c>
      <c r="AM105" s="32"/>
      <c r="AN105" s="32"/>
      <c r="AO105" s="53"/>
      <c r="AP105" s="21" t="str">
        <f>IFERROR(VLOOKUP(July[[#This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21" t="str">
        <f>IFERROR(VLOOKUP(July[[#This Row],[Drug Name7]],'Data Options'!$R$1:$S$100,2,FALSE), " ")</f>
        <v xml:space="preserve"> </v>
      </c>
      <c r="AZ105" s="32"/>
      <c r="BA105" s="32"/>
      <c r="BB105" s="53"/>
      <c r="BC105" s="21" t="str">
        <f>IFERROR(VLOOKUP(July[[#This Row],[Drug Name8]],'Data Options'!$R$1:$S$100,2,FALSE), " ")</f>
        <v xml:space="preserve"> </v>
      </c>
      <c r="BD105" s="32"/>
      <c r="BE105" s="32"/>
      <c r="BF105" s="53"/>
      <c r="BG105" s="21" t="str">
        <f>IFERROR(VLOOKUP(July[[#This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21" t="str">
        <f>IFERROR(VLOOKUP(July[[#This Row],[Drug Name]],'Data Options'!$R$1:$S$100,2,FALSE), " ")</f>
        <v xml:space="preserve"> </v>
      </c>
      <c r="R106" s="32"/>
      <c r="S106" s="32"/>
      <c r="T106" s="53"/>
      <c r="U106" s="21" t="str">
        <f>IFERROR(VLOOKUP(July[[#This Row],[Drug Name2]],'Data Options'!$R$1:$S$100,2,FALSE), " ")</f>
        <v xml:space="preserve"> </v>
      </c>
      <c r="V106" s="32"/>
      <c r="W106" s="32"/>
      <c r="X106" s="53"/>
      <c r="Y106" s="21" t="str">
        <f>IFERROR(VLOOKUP(July[[#This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21" t="str">
        <f>IFERROR(VLOOKUP(July[[#This Row],[Drug Name4]],'Data Options'!$R$1:$S$100,2,FALSE), " ")</f>
        <v xml:space="preserve"> </v>
      </c>
      <c r="AI106" s="32"/>
      <c r="AJ106" s="32"/>
      <c r="AK106" s="53"/>
      <c r="AL106" s="21" t="str">
        <f>IFERROR(VLOOKUP(July[[#This Row],[Drug Name5]],'Data Options'!$R$1:$S$100,2,FALSE), " ")</f>
        <v xml:space="preserve"> </v>
      </c>
      <c r="AM106" s="32"/>
      <c r="AN106" s="32"/>
      <c r="AO106" s="53"/>
      <c r="AP106" s="21" t="str">
        <f>IFERROR(VLOOKUP(July[[#This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21" t="str">
        <f>IFERROR(VLOOKUP(July[[#This Row],[Drug Name7]],'Data Options'!$R$1:$S$100,2,FALSE), " ")</f>
        <v xml:space="preserve"> </v>
      </c>
      <c r="AZ106" s="32"/>
      <c r="BA106" s="32"/>
      <c r="BB106" s="53"/>
      <c r="BC106" s="21" t="str">
        <f>IFERROR(VLOOKUP(July[[#This Row],[Drug Name8]],'Data Options'!$R$1:$S$100,2,FALSE), " ")</f>
        <v xml:space="preserve"> </v>
      </c>
      <c r="BD106" s="32"/>
      <c r="BE106" s="32"/>
      <c r="BF106" s="53"/>
      <c r="BG106" s="21" t="str">
        <f>IFERROR(VLOOKUP(July[[#This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21" t="str">
        <f>IFERROR(VLOOKUP(July[[#This Row],[Drug Name]],'Data Options'!$R$1:$S$100,2,FALSE), " ")</f>
        <v xml:space="preserve"> </v>
      </c>
      <c r="R107" s="32"/>
      <c r="S107" s="32"/>
      <c r="T107" s="53"/>
      <c r="U107" s="21" t="str">
        <f>IFERROR(VLOOKUP(July[[#This Row],[Drug Name2]],'Data Options'!$R$1:$S$100,2,FALSE), " ")</f>
        <v xml:space="preserve"> </v>
      </c>
      <c r="V107" s="32"/>
      <c r="W107" s="32"/>
      <c r="X107" s="53"/>
      <c r="Y107" s="21" t="str">
        <f>IFERROR(VLOOKUP(July[[#This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21" t="str">
        <f>IFERROR(VLOOKUP(July[[#This Row],[Drug Name4]],'Data Options'!$R$1:$S$100,2,FALSE), " ")</f>
        <v xml:space="preserve"> </v>
      </c>
      <c r="AI107" s="32"/>
      <c r="AJ107" s="32"/>
      <c r="AK107" s="53"/>
      <c r="AL107" s="21" t="str">
        <f>IFERROR(VLOOKUP(July[[#This Row],[Drug Name5]],'Data Options'!$R$1:$S$100,2,FALSE), " ")</f>
        <v xml:space="preserve"> </v>
      </c>
      <c r="AM107" s="32"/>
      <c r="AN107" s="32"/>
      <c r="AO107" s="53"/>
      <c r="AP107" s="21" t="str">
        <f>IFERROR(VLOOKUP(July[[#This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21" t="str">
        <f>IFERROR(VLOOKUP(July[[#This Row],[Drug Name7]],'Data Options'!$R$1:$S$100,2,FALSE), " ")</f>
        <v xml:space="preserve"> </v>
      </c>
      <c r="AZ107" s="32"/>
      <c r="BA107" s="32"/>
      <c r="BB107" s="53"/>
      <c r="BC107" s="21" t="str">
        <f>IFERROR(VLOOKUP(July[[#This Row],[Drug Name8]],'Data Options'!$R$1:$S$100,2,FALSE), " ")</f>
        <v xml:space="preserve"> </v>
      </c>
      <c r="BD107" s="32"/>
      <c r="BE107" s="32"/>
      <c r="BF107" s="53"/>
      <c r="BG107" s="21" t="str">
        <f>IFERROR(VLOOKUP(July[[#This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21" t="str">
        <f>IFERROR(VLOOKUP(July[[#This Row],[Drug Name]],'Data Options'!$R$1:$S$100,2,FALSE), " ")</f>
        <v xml:space="preserve"> </v>
      </c>
      <c r="R108" s="32"/>
      <c r="S108" s="32"/>
      <c r="T108" s="53"/>
      <c r="U108" s="21" t="str">
        <f>IFERROR(VLOOKUP(July[[#This Row],[Drug Name2]],'Data Options'!$R$1:$S$100,2,FALSE), " ")</f>
        <v xml:space="preserve"> </v>
      </c>
      <c r="V108" s="32"/>
      <c r="W108" s="32"/>
      <c r="X108" s="53"/>
      <c r="Y108" s="21" t="str">
        <f>IFERROR(VLOOKUP(July[[#This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21" t="str">
        <f>IFERROR(VLOOKUP(July[[#This Row],[Drug Name4]],'Data Options'!$R$1:$S$100,2,FALSE), " ")</f>
        <v xml:space="preserve"> </v>
      </c>
      <c r="AI108" s="32"/>
      <c r="AJ108" s="32"/>
      <c r="AK108" s="53"/>
      <c r="AL108" s="21" t="str">
        <f>IFERROR(VLOOKUP(July[[#This Row],[Drug Name5]],'Data Options'!$R$1:$S$100,2,FALSE), " ")</f>
        <v xml:space="preserve"> </v>
      </c>
      <c r="AM108" s="32"/>
      <c r="AN108" s="32"/>
      <c r="AO108" s="53"/>
      <c r="AP108" s="21" t="str">
        <f>IFERROR(VLOOKUP(July[[#This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21" t="str">
        <f>IFERROR(VLOOKUP(July[[#This Row],[Drug Name7]],'Data Options'!$R$1:$S$100,2,FALSE), " ")</f>
        <v xml:space="preserve"> </v>
      </c>
      <c r="AZ108" s="32"/>
      <c r="BA108" s="32"/>
      <c r="BB108" s="53"/>
      <c r="BC108" s="21" t="str">
        <f>IFERROR(VLOOKUP(July[[#This Row],[Drug Name8]],'Data Options'!$R$1:$S$100,2,FALSE), " ")</f>
        <v xml:space="preserve"> </v>
      </c>
      <c r="BD108" s="32"/>
      <c r="BE108" s="32"/>
      <c r="BF108" s="53"/>
      <c r="BG108" s="21" t="str">
        <f>IFERROR(VLOOKUP(July[[#This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21" t="str">
        <f>IFERROR(VLOOKUP(July[[#This Row],[Drug Name]],'Data Options'!$R$1:$S$100,2,FALSE), " ")</f>
        <v xml:space="preserve"> </v>
      </c>
      <c r="R109" s="32"/>
      <c r="S109" s="32"/>
      <c r="T109" s="53"/>
      <c r="U109" s="21" t="str">
        <f>IFERROR(VLOOKUP(July[[#This Row],[Drug Name2]],'Data Options'!$R$1:$S$100,2,FALSE), " ")</f>
        <v xml:space="preserve"> </v>
      </c>
      <c r="V109" s="32"/>
      <c r="W109" s="32"/>
      <c r="X109" s="53"/>
      <c r="Y109" s="21" t="str">
        <f>IFERROR(VLOOKUP(July[[#This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21" t="str">
        <f>IFERROR(VLOOKUP(July[[#This Row],[Drug Name4]],'Data Options'!$R$1:$S$100,2,FALSE), " ")</f>
        <v xml:space="preserve"> </v>
      </c>
      <c r="AI109" s="32"/>
      <c r="AJ109" s="32"/>
      <c r="AK109" s="53"/>
      <c r="AL109" s="21" t="str">
        <f>IFERROR(VLOOKUP(July[[#This Row],[Drug Name5]],'Data Options'!$R$1:$S$100,2,FALSE), " ")</f>
        <v xml:space="preserve"> </v>
      </c>
      <c r="AM109" s="32"/>
      <c r="AN109" s="32"/>
      <c r="AO109" s="53"/>
      <c r="AP109" s="21" t="str">
        <f>IFERROR(VLOOKUP(July[[#This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21" t="str">
        <f>IFERROR(VLOOKUP(July[[#This Row],[Drug Name7]],'Data Options'!$R$1:$S$100,2,FALSE), " ")</f>
        <v xml:space="preserve"> </v>
      </c>
      <c r="AZ109" s="32"/>
      <c r="BA109" s="32"/>
      <c r="BB109" s="53"/>
      <c r="BC109" s="21" t="str">
        <f>IFERROR(VLOOKUP(July[[#This Row],[Drug Name8]],'Data Options'!$R$1:$S$100,2,FALSE), " ")</f>
        <v xml:space="preserve"> </v>
      </c>
      <c r="BD109" s="32"/>
      <c r="BE109" s="32"/>
      <c r="BF109" s="53"/>
      <c r="BG109" s="21" t="str">
        <f>IFERROR(VLOOKUP(July[[#This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21" t="str">
        <f>IFERROR(VLOOKUP(July[[#This Row],[Drug Name]],'Data Options'!$R$1:$S$100,2,FALSE), " ")</f>
        <v xml:space="preserve"> </v>
      </c>
      <c r="R110" s="32"/>
      <c r="S110" s="32"/>
      <c r="T110" s="53"/>
      <c r="U110" s="21" t="str">
        <f>IFERROR(VLOOKUP(July[[#This Row],[Drug Name2]],'Data Options'!$R$1:$S$100,2,FALSE), " ")</f>
        <v xml:space="preserve"> </v>
      </c>
      <c r="V110" s="32"/>
      <c r="W110" s="32"/>
      <c r="X110" s="53"/>
      <c r="Y110" s="21" t="str">
        <f>IFERROR(VLOOKUP(July[[#This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21" t="str">
        <f>IFERROR(VLOOKUP(July[[#This Row],[Drug Name4]],'Data Options'!$R$1:$S$100,2,FALSE), " ")</f>
        <v xml:space="preserve"> </v>
      </c>
      <c r="AI110" s="32"/>
      <c r="AJ110" s="32"/>
      <c r="AK110" s="53"/>
      <c r="AL110" s="21" t="str">
        <f>IFERROR(VLOOKUP(July[[#This Row],[Drug Name5]],'Data Options'!$R$1:$S$100,2,FALSE), " ")</f>
        <v xml:space="preserve"> </v>
      </c>
      <c r="AM110" s="32"/>
      <c r="AN110" s="32"/>
      <c r="AO110" s="53"/>
      <c r="AP110" s="21" t="str">
        <f>IFERROR(VLOOKUP(July[[#This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21" t="str">
        <f>IFERROR(VLOOKUP(July[[#This Row],[Drug Name7]],'Data Options'!$R$1:$S$100,2,FALSE), " ")</f>
        <v xml:space="preserve"> </v>
      </c>
      <c r="AZ110" s="32"/>
      <c r="BA110" s="32"/>
      <c r="BB110" s="53"/>
      <c r="BC110" s="21" t="str">
        <f>IFERROR(VLOOKUP(July[[#This Row],[Drug Name8]],'Data Options'!$R$1:$S$100,2,FALSE), " ")</f>
        <v xml:space="preserve"> </v>
      </c>
      <c r="BD110" s="32"/>
      <c r="BE110" s="32"/>
      <c r="BF110" s="53"/>
      <c r="BG110" s="21" t="str">
        <f>IFERROR(VLOOKUP(July[[#This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21" t="str">
        <f>IFERROR(VLOOKUP(July[[#This Row],[Drug Name]],'Data Options'!$R$1:$S$100,2,FALSE), " ")</f>
        <v xml:space="preserve"> </v>
      </c>
      <c r="R111" s="32"/>
      <c r="S111" s="32"/>
      <c r="T111" s="53"/>
      <c r="U111" s="21" t="str">
        <f>IFERROR(VLOOKUP(July[[#This Row],[Drug Name2]],'Data Options'!$R$1:$S$100,2,FALSE), " ")</f>
        <v xml:space="preserve"> </v>
      </c>
      <c r="V111" s="32"/>
      <c r="W111" s="32"/>
      <c r="X111" s="53"/>
      <c r="Y111" s="21" t="str">
        <f>IFERROR(VLOOKUP(July[[#This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21" t="str">
        <f>IFERROR(VLOOKUP(July[[#This Row],[Drug Name4]],'Data Options'!$R$1:$S$100,2,FALSE), " ")</f>
        <v xml:space="preserve"> </v>
      </c>
      <c r="AI111" s="32"/>
      <c r="AJ111" s="32"/>
      <c r="AK111" s="53"/>
      <c r="AL111" s="21" t="str">
        <f>IFERROR(VLOOKUP(July[[#This Row],[Drug Name5]],'Data Options'!$R$1:$S$100,2,FALSE), " ")</f>
        <v xml:space="preserve"> </v>
      </c>
      <c r="AM111" s="32"/>
      <c r="AN111" s="32"/>
      <c r="AO111" s="53"/>
      <c r="AP111" s="21" t="str">
        <f>IFERROR(VLOOKUP(July[[#This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21" t="str">
        <f>IFERROR(VLOOKUP(July[[#This Row],[Drug Name7]],'Data Options'!$R$1:$S$100,2,FALSE), " ")</f>
        <v xml:space="preserve"> </v>
      </c>
      <c r="AZ111" s="32"/>
      <c r="BA111" s="32"/>
      <c r="BB111" s="53"/>
      <c r="BC111" s="21" t="str">
        <f>IFERROR(VLOOKUP(July[[#This Row],[Drug Name8]],'Data Options'!$R$1:$S$100,2,FALSE), " ")</f>
        <v xml:space="preserve"> </v>
      </c>
      <c r="BD111" s="32"/>
      <c r="BE111" s="32"/>
      <c r="BF111" s="53"/>
      <c r="BG111" s="21" t="str">
        <f>IFERROR(VLOOKUP(July[[#This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21" t="str">
        <f>IFERROR(VLOOKUP(July[[#This Row],[Drug Name]],'Data Options'!$R$1:$S$100,2,FALSE), " ")</f>
        <v xml:space="preserve"> </v>
      </c>
      <c r="R112" s="32"/>
      <c r="S112" s="32"/>
      <c r="T112" s="53"/>
      <c r="U112" s="21" t="str">
        <f>IFERROR(VLOOKUP(July[[#This Row],[Drug Name2]],'Data Options'!$R$1:$S$100,2,FALSE), " ")</f>
        <v xml:space="preserve"> </v>
      </c>
      <c r="V112" s="32"/>
      <c r="W112" s="32"/>
      <c r="X112" s="53"/>
      <c r="Y112" s="21" t="str">
        <f>IFERROR(VLOOKUP(July[[#This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21" t="str">
        <f>IFERROR(VLOOKUP(July[[#This Row],[Drug Name4]],'Data Options'!$R$1:$S$100,2,FALSE), " ")</f>
        <v xml:space="preserve"> </v>
      </c>
      <c r="AI112" s="32"/>
      <c r="AJ112" s="32"/>
      <c r="AK112" s="53"/>
      <c r="AL112" s="21" t="str">
        <f>IFERROR(VLOOKUP(July[[#This Row],[Drug Name5]],'Data Options'!$R$1:$S$100,2,FALSE), " ")</f>
        <v xml:space="preserve"> </v>
      </c>
      <c r="AM112" s="32"/>
      <c r="AN112" s="32"/>
      <c r="AO112" s="53"/>
      <c r="AP112" s="21" t="str">
        <f>IFERROR(VLOOKUP(July[[#This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21" t="str">
        <f>IFERROR(VLOOKUP(July[[#This Row],[Drug Name7]],'Data Options'!$R$1:$S$100,2,FALSE), " ")</f>
        <v xml:space="preserve"> </v>
      </c>
      <c r="AZ112" s="32"/>
      <c r="BA112" s="32"/>
      <c r="BB112" s="53"/>
      <c r="BC112" s="21" t="str">
        <f>IFERROR(VLOOKUP(July[[#This Row],[Drug Name8]],'Data Options'!$R$1:$S$100,2,FALSE), " ")</f>
        <v xml:space="preserve"> </v>
      </c>
      <c r="BD112" s="32"/>
      <c r="BE112" s="32"/>
      <c r="BF112" s="53"/>
      <c r="BG112" s="21" t="str">
        <f>IFERROR(VLOOKUP(July[[#This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21" t="str">
        <f>IFERROR(VLOOKUP(July[[#This Row],[Drug Name]],'Data Options'!$R$1:$S$100,2,FALSE), " ")</f>
        <v xml:space="preserve"> </v>
      </c>
      <c r="R113" s="32"/>
      <c r="S113" s="32"/>
      <c r="T113" s="53"/>
      <c r="U113" s="21" t="str">
        <f>IFERROR(VLOOKUP(July[[#This Row],[Drug Name2]],'Data Options'!$R$1:$S$100,2,FALSE), " ")</f>
        <v xml:space="preserve"> </v>
      </c>
      <c r="V113" s="32"/>
      <c r="W113" s="32"/>
      <c r="X113" s="53"/>
      <c r="Y113" s="21" t="str">
        <f>IFERROR(VLOOKUP(July[[#This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21" t="str">
        <f>IFERROR(VLOOKUP(July[[#This Row],[Drug Name4]],'Data Options'!$R$1:$S$100,2,FALSE), " ")</f>
        <v xml:space="preserve"> </v>
      </c>
      <c r="AI113" s="32"/>
      <c r="AJ113" s="32"/>
      <c r="AK113" s="53"/>
      <c r="AL113" s="21" t="str">
        <f>IFERROR(VLOOKUP(July[[#This Row],[Drug Name5]],'Data Options'!$R$1:$S$100,2,FALSE), " ")</f>
        <v xml:space="preserve"> </v>
      </c>
      <c r="AM113" s="32"/>
      <c r="AN113" s="32"/>
      <c r="AO113" s="53"/>
      <c r="AP113" s="21" t="str">
        <f>IFERROR(VLOOKUP(July[[#This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21" t="str">
        <f>IFERROR(VLOOKUP(July[[#This Row],[Drug Name7]],'Data Options'!$R$1:$S$100,2,FALSE), " ")</f>
        <v xml:space="preserve"> </v>
      </c>
      <c r="AZ113" s="32"/>
      <c r="BA113" s="32"/>
      <c r="BB113" s="53"/>
      <c r="BC113" s="21" t="str">
        <f>IFERROR(VLOOKUP(July[[#This Row],[Drug Name8]],'Data Options'!$R$1:$S$100,2,FALSE), " ")</f>
        <v xml:space="preserve"> </v>
      </c>
      <c r="BD113" s="32"/>
      <c r="BE113" s="32"/>
      <c r="BF113" s="53"/>
      <c r="BG113" s="21" t="str">
        <f>IFERROR(VLOOKUP(July[[#This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21" t="str">
        <f>IFERROR(VLOOKUP(July[[#This Row],[Drug Name]],'Data Options'!$R$1:$S$100,2,FALSE), " ")</f>
        <v xml:space="preserve"> </v>
      </c>
      <c r="R114" s="32"/>
      <c r="S114" s="32"/>
      <c r="T114" s="53"/>
      <c r="U114" s="21" t="str">
        <f>IFERROR(VLOOKUP(July[[#This Row],[Drug Name2]],'Data Options'!$R$1:$S$100,2,FALSE), " ")</f>
        <v xml:space="preserve"> </v>
      </c>
      <c r="V114" s="32"/>
      <c r="W114" s="32"/>
      <c r="X114" s="53"/>
      <c r="Y114" s="21" t="str">
        <f>IFERROR(VLOOKUP(July[[#This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21" t="str">
        <f>IFERROR(VLOOKUP(July[[#This Row],[Drug Name4]],'Data Options'!$R$1:$S$100,2,FALSE), " ")</f>
        <v xml:space="preserve"> </v>
      </c>
      <c r="AI114" s="32"/>
      <c r="AJ114" s="32"/>
      <c r="AK114" s="53"/>
      <c r="AL114" s="21" t="str">
        <f>IFERROR(VLOOKUP(July[[#This Row],[Drug Name5]],'Data Options'!$R$1:$S$100,2,FALSE), " ")</f>
        <v xml:space="preserve"> </v>
      </c>
      <c r="AM114" s="32"/>
      <c r="AN114" s="32"/>
      <c r="AO114" s="53"/>
      <c r="AP114" s="21" t="str">
        <f>IFERROR(VLOOKUP(July[[#This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21" t="str">
        <f>IFERROR(VLOOKUP(July[[#This Row],[Drug Name7]],'Data Options'!$R$1:$S$100,2,FALSE), " ")</f>
        <v xml:space="preserve"> </v>
      </c>
      <c r="AZ114" s="32"/>
      <c r="BA114" s="32"/>
      <c r="BB114" s="53"/>
      <c r="BC114" s="21" t="str">
        <f>IFERROR(VLOOKUP(July[[#This Row],[Drug Name8]],'Data Options'!$R$1:$S$100,2,FALSE), " ")</f>
        <v xml:space="preserve"> </v>
      </c>
      <c r="BD114" s="32"/>
      <c r="BE114" s="32"/>
      <c r="BF114" s="53"/>
      <c r="BG114" s="21" t="str">
        <f>IFERROR(VLOOKUP(July[[#This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21" t="str">
        <f>IFERROR(VLOOKUP(July[[#This Row],[Drug Name]],'Data Options'!$R$1:$S$100,2,FALSE), " ")</f>
        <v xml:space="preserve"> </v>
      </c>
      <c r="R115" s="32"/>
      <c r="S115" s="32"/>
      <c r="T115" s="53"/>
      <c r="U115" s="21" t="str">
        <f>IFERROR(VLOOKUP(July[[#This Row],[Drug Name2]],'Data Options'!$R$1:$S$100,2,FALSE), " ")</f>
        <v xml:space="preserve"> </v>
      </c>
      <c r="V115" s="32"/>
      <c r="W115" s="32"/>
      <c r="X115" s="53"/>
      <c r="Y115" s="21" t="str">
        <f>IFERROR(VLOOKUP(July[[#This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21" t="str">
        <f>IFERROR(VLOOKUP(July[[#This Row],[Drug Name4]],'Data Options'!$R$1:$S$100,2,FALSE), " ")</f>
        <v xml:space="preserve"> </v>
      </c>
      <c r="AI115" s="32"/>
      <c r="AJ115" s="32"/>
      <c r="AK115" s="53"/>
      <c r="AL115" s="21" t="str">
        <f>IFERROR(VLOOKUP(July[[#This Row],[Drug Name5]],'Data Options'!$R$1:$S$100,2,FALSE), " ")</f>
        <v xml:space="preserve"> </v>
      </c>
      <c r="AM115" s="32"/>
      <c r="AN115" s="32"/>
      <c r="AO115" s="53"/>
      <c r="AP115" s="21" t="str">
        <f>IFERROR(VLOOKUP(July[[#This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21" t="str">
        <f>IFERROR(VLOOKUP(July[[#This Row],[Drug Name7]],'Data Options'!$R$1:$S$100,2,FALSE), " ")</f>
        <v xml:space="preserve"> </v>
      </c>
      <c r="AZ115" s="32"/>
      <c r="BA115" s="32"/>
      <c r="BB115" s="53"/>
      <c r="BC115" s="21" t="str">
        <f>IFERROR(VLOOKUP(July[[#This Row],[Drug Name8]],'Data Options'!$R$1:$S$100,2,FALSE), " ")</f>
        <v xml:space="preserve"> </v>
      </c>
      <c r="BD115" s="32"/>
      <c r="BE115" s="32"/>
      <c r="BF115" s="53"/>
      <c r="BG115" s="21" t="str">
        <f>IFERROR(VLOOKUP(July[[#This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21" t="str">
        <f>IFERROR(VLOOKUP(July[[#This Row],[Drug Name]],'Data Options'!$R$1:$S$100,2,FALSE), " ")</f>
        <v xml:space="preserve"> </v>
      </c>
      <c r="R116" s="32"/>
      <c r="S116" s="32"/>
      <c r="T116" s="53"/>
      <c r="U116" s="21" t="str">
        <f>IFERROR(VLOOKUP(July[[#This Row],[Drug Name2]],'Data Options'!$R$1:$S$100,2,FALSE), " ")</f>
        <v xml:space="preserve"> </v>
      </c>
      <c r="V116" s="32"/>
      <c r="W116" s="32"/>
      <c r="X116" s="53"/>
      <c r="Y116" s="21" t="str">
        <f>IFERROR(VLOOKUP(July[[#This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21" t="str">
        <f>IFERROR(VLOOKUP(July[[#This Row],[Drug Name4]],'Data Options'!$R$1:$S$100,2,FALSE), " ")</f>
        <v xml:space="preserve"> </v>
      </c>
      <c r="AI116" s="32"/>
      <c r="AJ116" s="32"/>
      <c r="AK116" s="53"/>
      <c r="AL116" s="21" t="str">
        <f>IFERROR(VLOOKUP(July[[#This Row],[Drug Name5]],'Data Options'!$R$1:$S$100,2,FALSE), " ")</f>
        <v xml:space="preserve"> </v>
      </c>
      <c r="AM116" s="32"/>
      <c r="AN116" s="32"/>
      <c r="AO116" s="53"/>
      <c r="AP116" s="21" t="str">
        <f>IFERROR(VLOOKUP(July[[#This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21" t="str">
        <f>IFERROR(VLOOKUP(July[[#This Row],[Drug Name7]],'Data Options'!$R$1:$S$100,2,FALSE), " ")</f>
        <v xml:space="preserve"> </v>
      </c>
      <c r="AZ116" s="32"/>
      <c r="BA116" s="32"/>
      <c r="BB116" s="53"/>
      <c r="BC116" s="21" t="str">
        <f>IFERROR(VLOOKUP(July[[#This Row],[Drug Name8]],'Data Options'!$R$1:$S$100,2,FALSE), " ")</f>
        <v xml:space="preserve"> </v>
      </c>
      <c r="BD116" s="32"/>
      <c r="BE116" s="32"/>
      <c r="BF116" s="53"/>
      <c r="BG116" s="21" t="str">
        <f>IFERROR(VLOOKUP(July[[#This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21" t="str">
        <f>IFERROR(VLOOKUP(July[[#This Row],[Drug Name]],'Data Options'!$R$1:$S$100,2,FALSE), " ")</f>
        <v xml:space="preserve"> </v>
      </c>
      <c r="R117" s="32"/>
      <c r="S117" s="32"/>
      <c r="T117" s="53"/>
      <c r="U117" s="21" t="str">
        <f>IFERROR(VLOOKUP(July[[#This Row],[Drug Name2]],'Data Options'!$R$1:$S$100,2,FALSE), " ")</f>
        <v xml:space="preserve"> </v>
      </c>
      <c r="V117" s="32"/>
      <c r="W117" s="32"/>
      <c r="X117" s="53"/>
      <c r="Y117" s="21" t="str">
        <f>IFERROR(VLOOKUP(July[[#This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21" t="str">
        <f>IFERROR(VLOOKUP(July[[#This Row],[Drug Name4]],'Data Options'!$R$1:$S$100,2,FALSE), " ")</f>
        <v xml:space="preserve"> </v>
      </c>
      <c r="AI117" s="32"/>
      <c r="AJ117" s="32"/>
      <c r="AK117" s="53"/>
      <c r="AL117" s="21" t="str">
        <f>IFERROR(VLOOKUP(July[[#This Row],[Drug Name5]],'Data Options'!$R$1:$S$100,2,FALSE), " ")</f>
        <v xml:space="preserve"> </v>
      </c>
      <c r="AM117" s="32"/>
      <c r="AN117" s="32"/>
      <c r="AO117" s="53"/>
      <c r="AP117" s="21" t="str">
        <f>IFERROR(VLOOKUP(July[[#This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21" t="str">
        <f>IFERROR(VLOOKUP(July[[#This Row],[Drug Name7]],'Data Options'!$R$1:$S$100,2,FALSE), " ")</f>
        <v xml:space="preserve"> </v>
      </c>
      <c r="AZ117" s="32"/>
      <c r="BA117" s="32"/>
      <c r="BB117" s="53"/>
      <c r="BC117" s="21" t="str">
        <f>IFERROR(VLOOKUP(July[[#This Row],[Drug Name8]],'Data Options'!$R$1:$S$100,2,FALSE), " ")</f>
        <v xml:space="preserve"> </v>
      </c>
      <c r="BD117" s="32"/>
      <c r="BE117" s="32"/>
      <c r="BF117" s="53"/>
      <c r="BG117" s="21" t="str">
        <f>IFERROR(VLOOKUP(July[[#This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21" t="str">
        <f>IFERROR(VLOOKUP(July[[#This Row],[Drug Name]],'Data Options'!$R$1:$S$100,2,FALSE), " ")</f>
        <v xml:space="preserve"> </v>
      </c>
      <c r="R118" s="32"/>
      <c r="S118" s="32"/>
      <c r="T118" s="53"/>
      <c r="U118" s="21" t="str">
        <f>IFERROR(VLOOKUP(July[[#This Row],[Drug Name2]],'Data Options'!$R$1:$S$100,2,FALSE), " ")</f>
        <v xml:space="preserve"> </v>
      </c>
      <c r="V118" s="32"/>
      <c r="W118" s="32"/>
      <c r="X118" s="53"/>
      <c r="Y118" s="21" t="str">
        <f>IFERROR(VLOOKUP(July[[#This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21" t="str">
        <f>IFERROR(VLOOKUP(July[[#This Row],[Drug Name4]],'Data Options'!$R$1:$S$100,2,FALSE), " ")</f>
        <v xml:space="preserve"> </v>
      </c>
      <c r="AI118" s="32"/>
      <c r="AJ118" s="32"/>
      <c r="AK118" s="53"/>
      <c r="AL118" s="21" t="str">
        <f>IFERROR(VLOOKUP(July[[#This Row],[Drug Name5]],'Data Options'!$R$1:$S$100,2,FALSE), " ")</f>
        <v xml:space="preserve"> </v>
      </c>
      <c r="AM118" s="32"/>
      <c r="AN118" s="32"/>
      <c r="AO118" s="53"/>
      <c r="AP118" s="21" t="str">
        <f>IFERROR(VLOOKUP(July[[#This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21" t="str">
        <f>IFERROR(VLOOKUP(July[[#This Row],[Drug Name7]],'Data Options'!$R$1:$S$100,2,FALSE), " ")</f>
        <v xml:space="preserve"> </v>
      </c>
      <c r="AZ118" s="32"/>
      <c r="BA118" s="32"/>
      <c r="BB118" s="53"/>
      <c r="BC118" s="21" t="str">
        <f>IFERROR(VLOOKUP(July[[#This Row],[Drug Name8]],'Data Options'!$R$1:$S$100,2,FALSE), " ")</f>
        <v xml:space="preserve"> </v>
      </c>
      <c r="BD118" s="32"/>
      <c r="BE118" s="32"/>
      <c r="BF118" s="53"/>
      <c r="BG118" s="21" t="str">
        <f>IFERROR(VLOOKUP(July[[#This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21" t="str">
        <f>IFERROR(VLOOKUP(July[[#This Row],[Drug Name]],'Data Options'!$R$1:$S$100,2,FALSE), " ")</f>
        <v xml:space="preserve"> </v>
      </c>
      <c r="R119" s="32"/>
      <c r="S119" s="32"/>
      <c r="T119" s="53"/>
      <c r="U119" s="21" t="str">
        <f>IFERROR(VLOOKUP(July[[#This Row],[Drug Name2]],'Data Options'!$R$1:$S$100,2,FALSE), " ")</f>
        <v xml:space="preserve"> </v>
      </c>
      <c r="V119" s="32"/>
      <c r="W119" s="32"/>
      <c r="X119" s="53"/>
      <c r="Y119" s="21" t="str">
        <f>IFERROR(VLOOKUP(July[[#This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21" t="str">
        <f>IFERROR(VLOOKUP(July[[#This Row],[Drug Name4]],'Data Options'!$R$1:$S$100,2,FALSE), " ")</f>
        <v xml:space="preserve"> </v>
      </c>
      <c r="AI119" s="32"/>
      <c r="AJ119" s="32"/>
      <c r="AK119" s="53"/>
      <c r="AL119" s="21" t="str">
        <f>IFERROR(VLOOKUP(July[[#This Row],[Drug Name5]],'Data Options'!$R$1:$S$100,2,FALSE), " ")</f>
        <v xml:space="preserve"> </v>
      </c>
      <c r="AM119" s="32"/>
      <c r="AN119" s="32"/>
      <c r="AO119" s="53"/>
      <c r="AP119" s="21" t="str">
        <f>IFERROR(VLOOKUP(July[[#This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21" t="str">
        <f>IFERROR(VLOOKUP(July[[#This Row],[Drug Name7]],'Data Options'!$R$1:$S$100,2,FALSE), " ")</f>
        <v xml:space="preserve"> </v>
      </c>
      <c r="AZ119" s="32"/>
      <c r="BA119" s="32"/>
      <c r="BB119" s="53"/>
      <c r="BC119" s="21" t="str">
        <f>IFERROR(VLOOKUP(July[[#This Row],[Drug Name8]],'Data Options'!$R$1:$S$100,2,FALSE), " ")</f>
        <v xml:space="preserve"> </v>
      </c>
      <c r="BD119" s="32"/>
      <c r="BE119" s="32"/>
      <c r="BF119" s="53"/>
      <c r="BG119" s="21" t="str">
        <f>IFERROR(VLOOKUP(July[[#This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21" t="str">
        <f>IFERROR(VLOOKUP(July[[#This Row],[Drug Name]],'Data Options'!$R$1:$S$100,2,FALSE), " ")</f>
        <v xml:space="preserve"> </v>
      </c>
      <c r="R120" s="32"/>
      <c r="S120" s="32"/>
      <c r="T120" s="53"/>
      <c r="U120" s="21" t="str">
        <f>IFERROR(VLOOKUP(July[[#This Row],[Drug Name2]],'Data Options'!$R$1:$S$100,2,FALSE), " ")</f>
        <v xml:space="preserve"> </v>
      </c>
      <c r="V120" s="32"/>
      <c r="W120" s="32"/>
      <c r="X120" s="53"/>
      <c r="Y120" s="21" t="str">
        <f>IFERROR(VLOOKUP(July[[#This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21" t="str">
        <f>IFERROR(VLOOKUP(July[[#This Row],[Drug Name4]],'Data Options'!$R$1:$S$100,2,FALSE), " ")</f>
        <v xml:space="preserve"> </v>
      </c>
      <c r="AI120" s="32"/>
      <c r="AJ120" s="32"/>
      <c r="AK120" s="53"/>
      <c r="AL120" s="21" t="str">
        <f>IFERROR(VLOOKUP(July[[#This Row],[Drug Name5]],'Data Options'!$R$1:$S$100,2,FALSE), " ")</f>
        <v xml:space="preserve"> </v>
      </c>
      <c r="AM120" s="32"/>
      <c r="AN120" s="32"/>
      <c r="AO120" s="53"/>
      <c r="AP120" s="21" t="str">
        <f>IFERROR(VLOOKUP(July[[#This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21" t="str">
        <f>IFERROR(VLOOKUP(July[[#This Row],[Drug Name7]],'Data Options'!$R$1:$S$100,2,FALSE), " ")</f>
        <v xml:space="preserve"> </v>
      </c>
      <c r="AZ120" s="32"/>
      <c r="BA120" s="32"/>
      <c r="BB120" s="53"/>
      <c r="BC120" s="21" t="str">
        <f>IFERROR(VLOOKUP(July[[#This Row],[Drug Name8]],'Data Options'!$R$1:$S$100,2,FALSE), " ")</f>
        <v xml:space="preserve"> </v>
      </c>
      <c r="BD120" s="32"/>
      <c r="BE120" s="32"/>
      <c r="BF120" s="53"/>
      <c r="BG120" s="21" t="str">
        <f>IFERROR(VLOOKUP(July[[#This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21" t="str">
        <f>IFERROR(VLOOKUP(July[[#This Row],[Drug Name]],'Data Options'!$R$1:$S$100,2,FALSE), " ")</f>
        <v xml:space="preserve"> </v>
      </c>
      <c r="R121" s="32"/>
      <c r="S121" s="32"/>
      <c r="T121" s="53"/>
      <c r="U121" s="21" t="str">
        <f>IFERROR(VLOOKUP(July[[#This Row],[Drug Name2]],'Data Options'!$R$1:$S$100,2,FALSE), " ")</f>
        <v xml:space="preserve"> </v>
      </c>
      <c r="V121" s="32"/>
      <c r="W121" s="32"/>
      <c r="X121" s="53"/>
      <c r="Y121" s="21" t="str">
        <f>IFERROR(VLOOKUP(July[[#This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21" t="str">
        <f>IFERROR(VLOOKUP(July[[#This Row],[Drug Name4]],'Data Options'!$R$1:$S$100,2,FALSE), " ")</f>
        <v xml:space="preserve"> </v>
      </c>
      <c r="AI121" s="32"/>
      <c r="AJ121" s="32"/>
      <c r="AK121" s="53"/>
      <c r="AL121" s="21" t="str">
        <f>IFERROR(VLOOKUP(July[[#This Row],[Drug Name5]],'Data Options'!$R$1:$S$100,2,FALSE), " ")</f>
        <v xml:space="preserve"> </v>
      </c>
      <c r="AM121" s="32"/>
      <c r="AN121" s="32"/>
      <c r="AO121" s="53"/>
      <c r="AP121" s="21" t="str">
        <f>IFERROR(VLOOKUP(July[[#This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21" t="str">
        <f>IFERROR(VLOOKUP(July[[#This Row],[Drug Name7]],'Data Options'!$R$1:$S$100,2,FALSE), " ")</f>
        <v xml:space="preserve"> </v>
      </c>
      <c r="AZ121" s="32"/>
      <c r="BA121" s="32"/>
      <c r="BB121" s="53"/>
      <c r="BC121" s="21" t="str">
        <f>IFERROR(VLOOKUP(July[[#This Row],[Drug Name8]],'Data Options'!$R$1:$S$100,2,FALSE), " ")</f>
        <v xml:space="preserve"> </v>
      </c>
      <c r="BD121" s="32"/>
      <c r="BE121" s="32"/>
      <c r="BF121" s="53"/>
      <c r="BG121" s="21" t="str">
        <f>IFERROR(VLOOKUP(July[[#This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21" t="str">
        <f>IFERROR(VLOOKUP(July[[#This Row],[Drug Name]],'Data Options'!$R$1:$S$100,2,FALSE), " ")</f>
        <v xml:space="preserve"> </v>
      </c>
      <c r="R122" s="32"/>
      <c r="S122" s="32"/>
      <c r="T122" s="53"/>
      <c r="U122" s="21" t="str">
        <f>IFERROR(VLOOKUP(July[[#This Row],[Drug Name2]],'Data Options'!$R$1:$S$100,2,FALSE), " ")</f>
        <v xml:space="preserve"> </v>
      </c>
      <c r="V122" s="32"/>
      <c r="W122" s="32"/>
      <c r="X122" s="53"/>
      <c r="Y122" s="21" t="str">
        <f>IFERROR(VLOOKUP(July[[#This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21" t="str">
        <f>IFERROR(VLOOKUP(July[[#This Row],[Drug Name4]],'Data Options'!$R$1:$S$100,2,FALSE), " ")</f>
        <v xml:space="preserve"> </v>
      </c>
      <c r="AI122" s="32"/>
      <c r="AJ122" s="32"/>
      <c r="AK122" s="53"/>
      <c r="AL122" s="21" t="str">
        <f>IFERROR(VLOOKUP(July[[#This Row],[Drug Name5]],'Data Options'!$R$1:$S$100,2,FALSE), " ")</f>
        <v xml:space="preserve"> </v>
      </c>
      <c r="AM122" s="32"/>
      <c r="AN122" s="32"/>
      <c r="AO122" s="53"/>
      <c r="AP122" s="21" t="str">
        <f>IFERROR(VLOOKUP(July[[#This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21" t="str">
        <f>IFERROR(VLOOKUP(July[[#This Row],[Drug Name7]],'Data Options'!$R$1:$S$100,2,FALSE), " ")</f>
        <v xml:space="preserve"> </v>
      </c>
      <c r="AZ122" s="32"/>
      <c r="BA122" s="32"/>
      <c r="BB122" s="53"/>
      <c r="BC122" s="21" t="str">
        <f>IFERROR(VLOOKUP(July[[#This Row],[Drug Name8]],'Data Options'!$R$1:$S$100,2,FALSE), " ")</f>
        <v xml:space="preserve"> </v>
      </c>
      <c r="BD122" s="32"/>
      <c r="BE122" s="32"/>
      <c r="BF122" s="53"/>
      <c r="BG122" s="21" t="str">
        <f>IFERROR(VLOOKUP(July[[#This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21" t="str">
        <f>IFERROR(VLOOKUP(July[[#This Row],[Drug Name]],'Data Options'!$R$1:$S$100,2,FALSE), " ")</f>
        <v xml:space="preserve"> </v>
      </c>
      <c r="R123" s="32"/>
      <c r="S123" s="32"/>
      <c r="T123" s="53"/>
      <c r="U123" s="21" t="str">
        <f>IFERROR(VLOOKUP(July[[#This Row],[Drug Name2]],'Data Options'!$R$1:$S$100,2,FALSE), " ")</f>
        <v xml:space="preserve"> </v>
      </c>
      <c r="V123" s="32"/>
      <c r="W123" s="32"/>
      <c r="X123" s="53"/>
      <c r="Y123" s="21" t="str">
        <f>IFERROR(VLOOKUP(July[[#This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21" t="str">
        <f>IFERROR(VLOOKUP(July[[#This Row],[Drug Name4]],'Data Options'!$R$1:$S$100,2,FALSE), " ")</f>
        <v xml:space="preserve"> </v>
      </c>
      <c r="AI123" s="32"/>
      <c r="AJ123" s="32"/>
      <c r="AK123" s="53"/>
      <c r="AL123" s="21" t="str">
        <f>IFERROR(VLOOKUP(July[[#This Row],[Drug Name5]],'Data Options'!$R$1:$S$100,2,FALSE), " ")</f>
        <v xml:space="preserve"> </v>
      </c>
      <c r="AM123" s="32"/>
      <c r="AN123" s="32"/>
      <c r="AO123" s="53"/>
      <c r="AP123" s="21" t="str">
        <f>IFERROR(VLOOKUP(July[[#This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21" t="str">
        <f>IFERROR(VLOOKUP(July[[#This Row],[Drug Name7]],'Data Options'!$R$1:$S$100,2,FALSE), " ")</f>
        <v xml:space="preserve"> </v>
      </c>
      <c r="AZ123" s="32"/>
      <c r="BA123" s="32"/>
      <c r="BB123" s="53"/>
      <c r="BC123" s="21" t="str">
        <f>IFERROR(VLOOKUP(July[[#This Row],[Drug Name8]],'Data Options'!$R$1:$S$100,2,FALSE), " ")</f>
        <v xml:space="preserve"> </v>
      </c>
      <c r="BD123" s="32"/>
      <c r="BE123" s="32"/>
      <c r="BF123" s="53"/>
      <c r="BG123" s="21" t="str">
        <f>IFERROR(VLOOKUP(July[[#This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21" t="str">
        <f>IFERROR(VLOOKUP(July[[#This Row],[Drug Name]],'Data Options'!$R$1:$S$100,2,FALSE), " ")</f>
        <v xml:space="preserve"> </v>
      </c>
      <c r="R124" s="32"/>
      <c r="S124" s="32"/>
      <c r="T124" s="53"/>
      <c r="U124" s="21" t="str">
        <f>IFERROR(VLOOKUP(July[[#This Row],[Drug Name2]],'Data Options'!$R$1:$S$100,2,FALSE), " ")</f>
        <v xml:space="preserve"> </v>
      </c>
      <c r="V124" s="32"/>
      <c r="W124" s="32"/>
      <c r="X124" s="53"/>
      <c r="Y124" s="21" t="str">
        <f>IFERROR(VLOOKUP(July[[#This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21" t="str">
        <f>IFERROR(VLOOKUP(July[[#This Row],[Drug Name4]],'Data Options'!$R$1:$S$100,2,FALSE), " ")</f>
        <v xml:space="preserve"> </v>
      </c>
      <c r="AI124" s="32"/>
      <c r="AJ124" s="32"/>
      <c r="AK124" s="53"/>
      <c r="AL124" s="21" t="str">
        <f>IFERROR(VLOOKUP(July[[#This Row],[Drug Name5]],'Data Options'!$R$1:$S$100,2,FALSE), " ")</f>
        <v xml:space="preserve"> </v>
      </c>
      <c r="AM124" s="32"/>
      <c r="AN124" s="32"/>
      <c r="AO124" s="53"/>
      <c r="AP124" s="21" t="str">
        <f>IFERROR(VLOOKUP(July[[#This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21" t="str">
        <f>IFERROR(VLOOKUP(July[[#This Row],[Drug Name7]],'Data Options'!$R$1:$S$100,2,FALSE), " ")</f>
        <v xml:space="preserve"> </v>
      </c>
      <c r="AZ124" s="32"/>
      <c r="BA124" s="32"/>
      <c r="BB124" s="53"/>
      <c r="BC124" s="21" t="str">
        <f>IFERROR(VLOOKUP(July[[#This Row],[Drug Name8]],'Data Options'!$R$1:$S$100,2,FALSE), " ")</f>
        <v xml:space="preserve"> </v>
      </c>
      <c r="BD124" s="32"/>
      <c r="BE124" s="32"/>
      <c r="BF124" s="53"/>
      <c r="BG124" s="21" t="str">
        <f>IFERROR(VLOOKUP(July[[#This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21" t="str">
        <f>IFERROR(VLOOKUP(July[[#This Row],[Drug Name]],'Data Options'!$R$1:$S$100,2,FALSE), " ")</f>
        <v xml:space="preserve"> </v>
      </c>
      <c r="R125" s="32"/>
      <c r="S125" s="32"/>
      <c r="T125" s="53"/>
      <c r="U125" s="21" t="str">
        <f>IFERROR(VLOOKUP(July[[#This Row],[Drug Name2]],'Data Options'!$R$1:$S$100,2,FALSE), " ")</f>
        <v xml:space="preserve"> </v>
      </c>
      <c r="V125" s="32"/>
      <c r="W125" s="32"/>
      <c r="X125" s="53"/>
      <c r="Y125" s="21" t="str">
        <f>IFERROR(VLOOKUP(July[[#This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21" t="str">
        <f>IFERROR(VLOOKUP(July[[#This Row],[Drug Name4]],'Data Options'!$R$1:$S$100,2,FALSE), " ")</f>
        <v xml:space="preserve"> </v>
      </c>
      <c r="AI125" s="32"/>
      <c r="AJ125" s="32"/>
      <c r="AK125" s="53"/>
      <c r="AL125" s="21" t="str">
        <f>IFERROR(VLOOKUP(July[[#This Row],[Drug Name5]],'Data Options'!$R$1:$S$100,2,FALSE), " ")</f>
        <v xml:space="preserve"> </v>
      </c>
      <c r="AM125" s="32"/>
      <c r="AN125" s="32"/>
      <c r="AO125" s="53"/>
      <c r="AP125" s="21" t="str">
        <f>IFERROR(VLOOKUP(July[[#This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21" t="str">
        <f>IFERROR(VLOOKUP(July[[#This Row],[Drug Name7]],'Data Options'!$R$1:$S$100,2,FALSE), " ")</f>
        <v xml:space="preserve"> </v>
      </c>
      <c r="AZ125" s="32"/>
      <c r="BA125" s="32"/>
      <c r="BB125" s="53"/>
      <c r="BC125" s="21" t="str">
        <f>IFERROR(VLOOKUP(July[[#This Row],[Drug Name8]],'Data Options'!$R$1:$S$100,2,FALSE), " ")</f>
        <v xml:space="preserve"> </v>
      </c>
      <c r="BD125" s="32"/>
      <c r="BE125" s="32"/>
      <c r="BF125" s="53"/>
      <c r="BG125" s="21" t="str">
        <f>IFERROR(VLOOKUP(July[[#This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21" t="str">
        <f>IFERROR(VLOOKUP(July[[#This Row],[Drug Name]],'Data Options'!$R$1:$S$100,2,FALSE), " ")</f>
        <v xml:space="preserve"> </v>
      </c>
      <c r="R126" s="32"/>
      <c r="S126" s="32"/>
      <c r="T126" s="53"/>
      <c r="U126" s="21" t="str">
        <f>IFERROR(VLOOKUP(July[[#This Row],[Drug Name2]],'Data Options'!$R$1:$S$100,2,FALSE), " ")</f>
        <v xml:space="preserve"> </v>
      </c>
      <c r="V126" s="32"/>
      <c r="W126" s="32"/>
      <c r="X126" s="53"/>
      <c r="Y126" s="21" t="str">
        <f>IFERROR(VLOOKUP(July[[#This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21" t="str">
        <f>IFERROR(VLOOKUP(July[[#This Row],[Drug Name4]],'Data Options'!$R$1:$S$100,2,FALSE), " ")</f>
        <v xml:space="preserve"> </v>
      </c>
      <c r="AI126" s="32"/>
      <c r="AJ126" s="32"/>
      <c r="AK126" s="53"/>
      <c r="AL126" s="21" t="str">
        <f>IFERROR(VLOOKUP(July[[#This Row],[Drug Name5]],'Data Options'!$R$1:$S$100,2,FALSE), " ")</f>
        <v xml:space="preserve"> </v>
      </c>
      <c r="AM126" s="32"/>
      <c r="AN126" s="32"/>
      <c r="AO126" s="53"/>
      <c r="AP126" s="21" t="str">
        <f>IFERROR(VLOOKUP(July[[#This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21" t="str">
        <f>IFERROR(VLOOKUP(July[[#This Row],[Drug Name7]],'Data Options'!$R$1:$S$100,2,FALSE), " ")</f>
        <v xml:space="preserve"> </v>
      </c>
      <c r="AZ126" s="32"/>
      <c r="BA126" s="32"/>
      <c r="BB126" s="53"/>
      <c r="BC126" s="21" t="str">
        <f>IFERROR(VLOOKUP(July[[#This Row],[Drug Name8]],'Data Options'!$R$1:$S$100,2,FALSE), " ")</f>
        <v xml:space="preserve"> </v>
      </c>
      <c r="BD126" s="32"/>
      <c r="BE126" s="32"/>
      <c r="BF126" s="53"/>
      <c r="BG126" s="21" t="str">
        <f>IFERROR(VLOOKUP(July[[#This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21" t="str">
        <f>IFERROR(VLOOKUP(July[[#This Row],[Drug Name]],'Data Options'!$R$1:$S$100,2,FALSE), " ")</f>
        <v xml:space="preserve"> </v>
      </c>
      <c r="R127" s="32"/>
      <c r="S127" s="32"/>
      <c r="T127" s="53"/>
      <c r="U127" s="21" t="str">
        <f>IFERROR(VLOOKUP(July[[#This Row],[Drug Name2]],'Data Options'!$R$1:$S$100,2,FALSE), " ")</f>
        <v xml:space="preserve"> </v>
      </c>
      <c r="V127" s="32"/>
      <c r="W127" s="32"/>
      <c r="X127" s="53"/>
      <c r="Y127" s="21" t="str">
        <f>IFERROR(VLOOKUP(July[[#This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21" t="str">
        <f>IFERROR(VLOOKUP(July[[#This Row],[Drug Name4]],'Data Options'!$R$1:$S$100,2,FALSE), " ")</f>
        <v xml:space="preserve"> </v>
      </c>
      <c r="AI127" s="32"/>
      <c r="AJ127" s="32"/>
      <c r="AK127" s="53"/>
      <c r="AL127" s="21" t="str">
        <f>IFERROR(VLOOKUP(July[[#This Row],[Drug Name5]],'Data Options'!$R$1:$S$100,2,FALSE), " ")</f>
        <v xml:space="preserve"> </v>
      </c>
      <c r="AM127" s="32"/>
      <c r="AN127" s="32"/>
      <c r="AO127" s="53"/>
      <c r="AP127" s="21" t="str">
        <f>IFERROR(VLOOKUP(July[[#This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21" t="str">
        <f>IFERROR(VLOOKUP(July[[#This Row],[Drug Name7]],'Data Options'!$R$1:$S$100,2,FALSE), " ")</f>
        <v xml:space="preserve"> </v>
      </c>
      <c r="AZ127" s="32"/>
      <c r="BA127" s="32"/>
      <c r="BB127" s="53"/>
      <c r="BC127" s="21" t="str">
        <f>IFERROR(VLOOKUP(July[[#This Row],[Drug Name8]],'Data Options'!$R$1:$S$100,2,FALSE), " ")</f>
        <v xml:space="preserve"> </v>
      </c>
      <c r="BD127" s="32"/>
      <c r="BE127" s="32"/>
      <c r="BF127" s="53"/>
      <c r="BG127" s="21" t="str">
        <f>IFERROR(VLOOKUP(July[[#This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21" t="str">
        <f>IFERROR(VLOOKUP(July[[#This Row],[Drug Name]],'Data Options'!$R$1:$S$100,2,FALSE), " ")</f>
        <v xml:space="preserve"> </v>
      </c>
      <c r="R128" s="32"/>
      <c r="S128" s="32"/>
      <c r="T128" s="53"/>
      <c r="U128" s="21" t="str">
        <f>IFERROR(VLOOKUP(July[[#This Row],[Drug Name2]],'Data Options'!$R$1:$S$100,2,FALSE), " ")</f>
        <v xml:space="preserve"> </v>
      </c>
      <c r="V128" s="32"/>
      <c r="W128" s="32"/>
      <c r="X128" s="53"/>
      <c r="Y128" s="21" t="str">
        <f>IFERROR(VLOOKUP(July[[#This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21" t="str">
        <f>IFERROR(VLOOKUP(July[[#This Row],[Drug Name4]],'Data Options'!$R$1:$S$100,2,FALSE), " ")</f>
        <v xml:space="preserve"> </v>
      </c>
      <c r="AI128" s="32"/>
      <c r="AJ128" s="32"/>
      <c r="AK128" s="53"/>
      <c r="AL128" s="21" t="str">
        <f>IFERROR(VLOOKUP(July[[#This Row],[Drug Name5]],'Data Options'!$R$1:$S$100,2,FALSE), " ")</f>
        <v xml:space="preserve"> </v>
      </c>
      <c r="AM128" s="32"/>
      <c r="AN128" s="32"/>
      <c r="AO128" s="53"/>
      <c r="AP128" s="21" t="str">
        <f>IFERROR(VLOOKUP(July[[#This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21" t="str">
        <f>IFERROR(VLOOKUP(July[[#This Row],[Drug Name7]],'Data Options'!$R$1:$S$100,2,FALSE), " ")</f>
        <v xml:space="preserve"> </v>
      </c>
      <c r="AZ128" s="32"/>
      <c r="BA128" s="32"/>
      <c r="BB128" s="53"/>
      <c r="BC128" s="21" t="str">
        <f>IFERROR(VLOOKUP(July[[#This Row],[Drug Name8]],'Data Options'!$R$1:$S$100,2,FALSE), " ")</f>
        <v xml:space="preserve"> </v>
      </c>
      <c r="BD128" s="32"/>
      <c r="BE128" s="32"/>
      <c r="BF128" s="53"/>
      <c r="BG128" s="21" t="str">
        <f>IFERROR(VLOOKUP(July[[#This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21" t="str">
        <f>IFERROR(VLOOKUP(July[[#This Row],[Drug Name]],'Data Options'!$R$1:$S$100,2,FALSE), " ")</f>
        <v xml:space="preserve"> </v>
      </c>
      <c r="R129" s="32"/>
      <c r="S129" s="32"/>
      <c r="T129" s="53"/>
      <c r="U129" s="21" t="str">
        <f>IFERROR(VLOOKUP(July[[#This Row],[Drug Name2]],'Data Options'!$R$1:$S$100,2,FALSE), " ")</f>
        <v xml:space="preserve"> </v>
      </c>
      <c r="V129" s="32"/>
      <c r="W129" s="32"/>
      <c r="X129" s="53"/>
      <c r="Y129" s="21" t="str">
        <f>IFERROR(VLOOKUP(July[[#This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21" t="str">
        <f>IFERROR(VLOOKUP(July[[#This Row],[Drug Name4]],'Data Options'!$R$1:$S$100,2,FALSE), " ")</f>
        <v xml:space="preserve"> </v>
      </c>
      <c r="AI129" s="32"/>
      <c r="AJ129" s="32"/>
      <c r="AK129" s="53"/>
      <c r="AL129" s="21" t="str">
        <f>IFERROR(VLOOKUP(July[[#This Row],[Drug Name5]],'Data Options'!$R$1:$S$100,2,FALSE), " ")</f>
        <v xml:space="preserve"> </v>
      </c>
      <c r="AM129" s="32"/>
      <c r="AN129" s="32"/>
      <c r="AO129" s="53"/>
      <c r="AP129" s="21" t="str">
        <f>IFERROR(VLOOKUP(July[[#This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21" t="str">
        <f>IFERROR(VLOOKUP(July[[#This Row],[Drug Name7]],'Data Options'!$R$1:$S$100,2,FALSE), " ")</f>
        <v xml:space="preserve"> </v>
      </c>
      <c r="AZ129" s="32"/>
      <c r="BA129" s="32"/>
      <c r="BB129" s="53"/>
      <c r="BC129" s="21" t="str">
        <f>IFERROR(VLOOKUP(July[[#This Row],[Drug Name8]],'Data Options'!$R$1:$S$100,2,FALSE), " ")</f>
        <v xml:space="preserve"> </v>
      </c>
      <c r="BD129" s="32"/>
      <c r="BE129" s="32"/>
      <c r="BF129" s="53"/>
      <c r="BG129" s="21" t="str">
        <f>IFERROR(VLOOKUP(July[[#This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21" t="str">
        <f>IFERROR(VLOOKUP(July[[#This Row],[Drug Name]],'Data Options'!$R$1:$S$100,2,FALSE), " ")</f>
        <v xml:space="preserve"> </v>
      </c>
      <c r="R130" s="32"/>
      <c r="S130" s="32"/>
      <c r="T130" s="53"/>
      <c r="U130" s="21" t="str">
        <f>IFERROR(VLOOKUP(July[[#This Row],[Drug Name2]],'Data Options'!$R$1:$S$100,2,FALSE), " ")</f>
        <v xml:space="preserve"> </v>
      </c>
      <c r="V130" s="32"/>
      <c r="W130" s="32"/>
      <c r="X130" s="53"/>
      <c r="Y130" s="21" t="str">
        <f>IFERROR(VLOOKUP(July[[#This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21" t="str">
        <f>IFERROR(VLOOKUP(July[[#This Row],[Drug Name4]],'Data Options'!$R$1:$S$100,2,FALSE), " ")</f>
        <v xml:space="preserve"> </v>
      </c>
      <c r="AI130" s="32"/>
      <c r="AJ130" s="32"/>
      <c r="AK130" s="53"/>
      <c r="AL130" s="21" t="str">
        <f>IFERROR(VLOOKUP(July[[#This Row],[Drug Name5]],'Data Options'!$R$1:$S$100,2,FALSE), " ")</f>
        <v xml:space="preserve"> </v>
      </c>
      <c r="AM130" s="32"/>
      <c r="AN130" s="32"/>
      <c r="AO130" s="53"/>
      <c r="AP130" s="21" t="str">
        <f>IFERROR(VLOOKUP(July[[#This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21" t="str">
        <f>IFERROR(VLOOKUP(July[[#This Row],[Drug Name7]],'Data Options'!$R$1:$S$100,2,FALSE), " ")</f>
        <v xml:space="preserve"> </v>
      </c>
      <c r="AZ130" s="32"/>
      <c r="BA130" s="32"/>
      <c r="BB130" s="53"/>
      <c r="BC130" s="21" t="str">
        <f>IFERROR(VLOOKUP(July[[#This Row],[Drug Name8]],'Data Options'!$R$1:$S$100,2,FALSE), " ")</f>
        <v xml:space="preserve"> </v>
      </c>
      <c r="BD130" s="32"/>
      <c r="BE130" s="32"/>
      <c r="BF130" s="53"/>
      <c r="BG130" s="21" t="str">
        <f>IFERROR(VLOOKUP(July[[#This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21" t="str">
        <f>IFERROR(VLOOKUP(July[[#This Row],[Drug Name]],'Data Options'!$R$1:$S$100,2,FALSE), " ")</f>
        <v xml:space="preserve"> </v>
      </c>
      <c r="R131" s="32"/>
      <c r="S131" s="32"/>
      <c r="T131" s="53"/>
      <c r="U131" s="21" t="str">
        <f>IFERROR(VLOOKUP(July[[#This Row],[Drug Name2]],'Data Options'!$R$1:$S$100,2,FALSE), " ")</f>
        <v xml:space="preserve"> </v>
      </c>
      <c r="V131" s="32"/>
      <c r="W131" s="32"/>
      <c r="X131" s="53"/>
      <c r="Y131" s="21" t="str">
        <f>IFERROR(VLOOKUP(July[[#This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21" t="str">
        <f>IFERROR(VLOOKUP(July[[#This Row],[Drug Name4]],'Data Options'!$R$1:$S$100,2,FALSE), " ")</f>
        <v xml:space="preserve"> </v>
      </c>
      <c r="AI131" s="32"/>
      <c r="AJ131" s="32"/>
      <c r="AK131" s="53"/>
      <c r="AL131" s="21" t="str">
        <f>IFERROR(VLOOKUP(July[[#This Row],[Drug Name5]],'Data Options'!$R$1:$S$100,2,FALSE), " ")</f>
        <v xml:space="preserve"> </v>
      </c>
      <c r="AM131" s="32"/>
      <c r="AN131" s="32"/>
      <c r="AO131" s="53"/>
      <c r="AP131" s="21" t="str">
        <f>IFERROR(VLOOKUP(July[[#This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21" t="str">
        <f>IFERROR(VLOOKUP(July[[#This Row],[Drug Name7]],'Data Options'!$R$1:$S$100,2,FALSE), " ")</f>
        <v xml:space="preserve"> </v>
      </c>
      <c r="AZ131" s="32"/>
      <c r="BA131" s="32"/>
      <c r="BB131" s="53"/>
      <c r="BC131" s="21" t="str">
        <f>IFERROR(VLOOKUP(July[[#This Row],[Drug Name8]],'Data Options'!$R$1:$S$100,2,FALSE), " ")</f>
        <v xml:space="preserve"> </v>
      </c>
      <c r="BD131" s="32"/>
      <c r="BE131" s="32"/>
      <c r="BF131" s="53"/>
      <c r="BG131" s="21" t="str">
        <f>IFERROR(VLOOKUP(July[[#This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21" t="str">
        <f>IFERROR(VLOOKUP(July[[#This Row],[Drug Name]],'Data Options'!$R$1:$S$100,2,FALSE), " ")</f>
        <v xml:space="preserve"> </v>
      </c>
      <c r="R132" s="32"/>
      <c r="S132" s="32"/>
      <c r="T132" s="53"/>
      <c r="U132" s="21" t="str">
        <f>IFERROR(VLOOKUP(July[[#This Row],[Drug Name2]],'Data Options'!$R$1:$S$100,2,FALSE), " ")</f>
        <v xml:space="preserve"> </v>
      </c>
      <c r="V132" s="32"/>
      <c r="W132" s="32"/>
      <c r="X132" s="53"/>
      <c r="Y132" s="21" t="str">
        <f>IFERROR(VLOOKUP(July[[#This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21" t="str">
        <f>IFERROR(VLOOKUP(July[[#This Row],[Drug Name4]],'Data Options'!$R$1:$S$100,2,FALSE), " ")</f>
        <v xml:space="preserve"> </v>
      </c>
      <c r="AI132" s="32"/>
      <c r="AJ132" s="32"/>
      <c r="AK132" s="53"/>
      <c r="AL132" s="21" t="str">
        <f>IFERROR(VLOOKUP(July[[#This Row],[Drug Name5]],'Data Options'!$R$1:$S$100,2,FALSE), " ")</f>
        <v xml:space="preserve"> </v>
      </c>
      <c r="AM132" s="32"/>
      <c r="AN132" s="32"/>
      <c r="AO132" s="53"/>
      <c r="AP132" s="21" t="str">
        <f>IFERROR(VLOOKUP(July[[#This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21" t="str">
        <f>IFERROR(VLOOKUP(July[[#This Row],[Drug Name7]],'Data Options'!$R$1:$S$100,2,FALSE), " ")</f>
        <v xml:space="preserve"> </v>
      </c>
      <c r="AZ132" s="32"/>
      <c r="BA132" s="32"/>
      <c r="BB132" s="53"/>
      <c r="BC132" s="21" t="str">
        <f>IFERROR(VLOOKUP(July[[#This Row],[Drug Name8]],'Data Options'!$R$1:$S$100,2,FALSE), " ")</f>
        <v xml:space="preserve"> </v>
      </c>
      <c r="BD132" s="32"/>
      <c r="BE132" s="32"/>
      <c r="BF132" s="53"/>
      <c r="BG132" s="21" t="str">
        <f>IFERROR(VLOOKUP(July[[#This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21" t="str">
        <f>IFERROR(VLOOKUP(July[[#This Row],[Drug Name]],'Data Options'!$R$1:$S$100,2,FALSE), " ")</f>
        <v xml:space="preserve"> </v>
      </c>
      <c r="R133" s="32"/>
      <c r="S133" s="32"/>
      <c r="T133" s="53"/>
      <c r="U133" s="21" t="str">
        <f>IFERROR(VLOOKUP(July[[#This Row],[Drug Name2]],'Data Options'!$R$1:$S$100,2,FALSE), " ")</f>
        <v xml:space="preserve"> </v>
      </c>
      <c r="V133" s="32"/>
      <c r="W133" s="32"/>
      <c r="X133" s="53"/>
      <c r="Y133" s="21" t="str">
        <f>IFERROR(VLOOKUP(July[[#This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21" t="str">
        <f>IFERROR(VLOOKUP(July[[#This Row],[Drug Name4]],'Data Options'!$R$1:$S$100,2,FALSE), " ")</f>
        <v xml:space="preserve"> </v>
      </c>
      <c r="AI133" s="32"/>
      <c r="AJ133" s="32"/>
      <c r="AK133" s="53"/>
      <c r="AL133" s="21" t="str">
        <f>IFERROR(VLOOKUP(July[[#This Row],[Drug Name5]],'Data Options'!$R$1:$S$100,2,FALSE), " ")</f>
        <v xml:space="preserve"> </v>
      </c>
      <c r="AM133" s="32"/>
      <c r="AN133" s="32"/>
      <c r="AO133" s="53"/>
      <c r="AP133" s="21" t="str">
        <f>IFERROR(VLOOKUP(July[[#This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21" t="str">
        <f>IFERROR(VLOOKUP(July[[#This Row],[Drug Name7]],'Data Options'!$R$1:$S$100,2,FALSE), " ")</f>
        <v xml:space="preserve"> </v>
      </c>
      <c r="AZ133" s="32"/>
      <c r="BA133" s="32"/>
      <c r="BB133" s="53"/>
      <c r="BC133" s="21" t="str">
        <f>IFERROR(VLOOKUP(July[[#This Row],[Drug Name8]],'Data Options'!$R$1:$S$100,2,FALSE), " ")</f>
        <v xml:space="preserve"> </v>
      </c>
      <c r="BD133" s="32"/>
      <c r="BE133" s="32"/>
      <c r="BF133" s="53"/>
      <c r="BG133" s="21" t="str">
        <f>IFERROR(VLOOKUP(July[[#This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21" t="str">
        <f>IFERROR(VLOOKUP(July[[#This Row],[Drug Name]],'Data Options'!$R$1:$S$100,2,FALSE), " ")</f>
        <v xml:space="preserve"> </v>
      </c>
      <c r="R134" s="32"/>
      <c r="S134" s="32"/>
      <c r="T134" s="53"/>
      <c r="U134" s="21" t="str">
        <f>IFERROR(VLOOKUP(July[[#This Row],[Drug Name2]],'Data Options'!$R$1:$S$100,2,FALSE), " ")</f>
        <v xml:space="preserve"> </v>
      </c>
      <c r="V134" s="32"/>
      <c r="W134" s="32"/>
      <c r="X134" s="53"/>
      <c r="Y134" s="21" t="str">
        <f>IFERROR(VLOOKUP(July[[#This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21" t="str">
        <f>IFERROR(VLOOKUP(July[[#This Row],[Drug Name4]],'Data Options'!$R$1:$S$100,2,FALSE), " ")</f>
        <v xml:space="preserve"> </v>
      </c>
      <c r="AI134" s="32"/>
      <c r="AJ134" s="32"/>
      <c r="AK134" s="53"/>
      <c r="AL134" s="21" t="str">
        <f>IFERROR(VLOOKUP(July[[#This Row],[Drug Name5]],'Data Options'!$R$1:$S$100,2,FALSE), " ")</f>
        <v xml:space="preserve"> </v>
      </c>
      <c r="AM134" s="32"/>
      <c r="AN134" s="32"/>
      <c r="AO134" s="53"/>
      <c r="AP134" s="21" t="str">
        <f>IFERROR(VLOOKUP(July[[#This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21" t="str">
        <f>IFERROR(VLOOKUP(July[[#This Row],[Drug Name7]],'Data Options'!$R$1:$S$100,2,FALSE), " ")</f>
        <v xml:space="preserve"> </v>
      </c>
      <c r="AZ134" s="32"/>
      <c r="BA134" s="32"/>
      <c r="BB134" s="53"/>
      <c r="BC134" s="21" t="str">
        <f>IFERROR(VLOOKUP(July[[#This Row],[Drug Name8]],'Data Options'!$R$1:$S$100,2,FALSE), " ")</f>
        <v xml:space="preserve"> </v>
      </c>
      <c r="BD134" s="32"/>
      <c r="BE134" s="32"/>
      <c r="BF134" s="53"/>
      <c r="BG134" s="21" t="str">
        <f>IFERROR(VLOOKUP(July[[#This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21" t="str">
        <f>IFERROR(VLOOKUP(July[[#This Row],[Drug Name]],'Data Options'!$R$1:$S$100,2,FALSE), " ")</f>
        <v xml:space="preserve"> </v>
      </c>
      <c r="R135" s="32"/>
      <c r="S135" s="32"/>
      <c r="T135" s="53"/>
      <c r="U135" s="21" t="str">
        <f>IFERROR(VLOOKUP(July[[#This Row],[Drug Name2]],'Data Options'!$R$1:$S$100,2,FALSE), " ")</f>
        <v xml:space="preserve"> </v>
      </c>
      <c r="V135" s="32"/>
      <c r="W135" s="32"/>
      <c r="X135" s="53"/>
      <c r="Y135" s="21" t="str">
        <f>IFERROR(VLOOKUP(July[[#This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21" t="str">
        <f>IFERROR(VLOOKUP(July[[#This Row],[Drug Name4]],'Data Options'!$R$1:$S$100,2,FALSE), " ")</f>
        <v xml:space="preserve"> </v>
      </c>
      <c r="AI135" s="32"/>
      <c r="AJ135" s="32"/>
      <c r="AK135" s="53"/>
      <c r="AL135" s="21" t="str">
        <f>IFERROR(VLOOKUP(July[[#This Row],[Drug Name5]],'Data Options'!$R$1:$S$100,2,FALSE), " ")</f>
        <v xml:space="preserve"> </v>
      </c>
      <c r="AM135" s="32"/>
      <c r="AN135" s="32"/>
      <c r="AO135" s="53"/>
      <c r="AP135" s="21" t="str">
        <f>IFERROR(VLOOKUP(July[[#This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21" t="str">
        <f>IFERROR(VLOOKUP(July[[#This Row],[Drug Name7]],'Data Options'!$R$1:$S$100,2,FALSE), " ")</f>
        <v xml:space="preserve"> </v>
      </c>
      <c r="AZ135" s="32"/>
      <c r="BA135" s="32"/>
      <c r="BB135" s="53"/>
      <c r="BC135" s="21" t="str">
        <f>IFERROR(VLOOKUP(July[[#This Row],[Drug Name8]],'Data Options'!$R$1:$S$100,2,FALSE), " ")</f>
        <v xml:space="preserve"> </v>
      </c>
      <c r="BD135" s="32"/>
      <c r="BE135" s="32"/>
      <c r="BF135" s="53"/>
      <c r="BG135" s="21" t="str">
        <f>IFERROR(VLOOKUP(July[[#This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21" t="str">
        <f>IFERROR(VLOOKUP(July[[#This Row],[Drug Name]],'Data Options'!$R$1:$S$100,2,FALSE), " ")</f>
        <v xml:space="preserve"> </v>
      </c>
      <c r="R136" s="32"/>
      <c r="S136" s="32"/>
      <c r="T136" s="53"/>
      <c r="U136" s="21" t="str">
        <f>IFERROR(VLOOKUP(July[[#This Row],[Drug Name2]],'Data Options'!$R$1:$S$100,2,FALSE), " ")</f>
        <v xml:space="preserve"> </v>
      </c>
      <c r="V136" s="32"/>
      <c r="W136" s="32"/>
      <c r="X136" s="53"/>
      <c r="Y136" s="21" t="str">
        <f>IFERROR(VLOOKUP(July[[#This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21" t="str">
        <f>IFERROR(VLOOKUP(July[[#This Row],[Drug Name4]],'Data Options'!$R$1:$S$100,2,FALSE), " ")</f>
        <v xml:space="preserve"> </v>
      </c>
      <c r="AI136" s="32"/>
      <c r="AJ136" s="32"/>
      <c r="AK136" s="53"/>
      <c r="AL136" s="21" t="str">
        <f>IFERROR(VLOOKUP(July[[#This Row],[Drug Name5]],'Data Options'!$R$1:$S$100,2,FALSE), " ")</f>
        <v xml:space="preserve"> </v>
      </c>
      <c r="AM136" s="32"/>
      <c r="AN136" s="32"/>
      <c r="AO136" s="53"/>
      <c r="AP136" s="21" t="str">
        <f>IFERROR(VLOOKUP(July[[#This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21" t="str">
        <f>IFERROR(VLOOKUP(July[[#This Row],[Drug Name7]],'Data Options'!$R$1:$S$100,2,FALSE), " ")</f>
        <v xml:space="preserve"> </v>
      </c>
      <c r="AZ136" s="32"/>
      <c r="BA136" s="32"/>
      <c r="BB136" s="53"/>
      <c r="BC136" s="21" t="str">
        <f>IFERROR(VLOOKUP(July[[#This Row],[Drug Name8]],'Data Options'!$R$1:$S$100,2,FALSE), " ")</f>
        <v xml:space="preserve"> </v>
      </c>
      <c r="BD136" s="32"/>
      <c r="BE136" s="32"/>
      <c r="BF136" s="53"/>
      <c r="BG136" s="21" t="str">
        <f>IFERROR(VLOOKUP(July[[#This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21" t="str">
        <f>IFERROR(VLOOKUP(July[[#This Row],[Drug Name]],'Data Options'!$R$1:$S$100,2,FALSE), " ")</f>
        <v xml:space="preserve"> </v>
      </c>
      <c r="R137" s="32"/>
      <c r="S137" s="32"/>
      <c r="T137" s="53"/>
      <c r="U137" s="21" t="str">
        <f>IFERROR(VLOOKUP(July[[#This Row],[Drug Name2]],'Data Options'!$R$1:$S$100,2,FALSE), " ")</f>
        <v xml:space="preserve"> </v>
      </c>
      <c r="V137" s="32"/>
      <c r="W137" s="32"/>
      <c r="X137" s="53"/>
      <c r="Y137" s="21" t="str">
        <f>IFERROR(VLOOKUP(July[[#This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21" t="str">
        <f>IFERROR(VLOOKUP(July[[#This Row],[Drug Name4]],'Data Options'!$R$1:$S$100,2,FALSE), " ")</f>
        <v xml:space="preserve"> </v>
      </c>
      <c r="AI137" s="32"/>
      <c r="AJ137" s="32"/>
      <c r="AK137" s="53"/>
      <c r="AL137" s="21" t="str">
        <f>IFERROR(VLOOKUP(July[[#This Row],[Drug Name5]],'Data Options'!$R$1:$S$100,2,FALSE), " ")</f>
        <v xml:space="preserve"> </v>
      </c>
      <c r="AM137" s="32"/>
      <c r="AN137" s="32"/>
      <c r="AO137" s="53"/>
      <c r="AP137" s="21" t="str">
        <f>IFERROR(VLOOKUP(July[[#This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21" t="str">
        <f>IFERROR(VLOOKUP(July[[#This Row],[Drug Name7]],'Data Options'!$R$1:$S$100,2,FALSE), " ")</f>
        <v xml:space="preserve"> </v>
      </c>
      <c r="AZ137" s="32"/>
      <c r="BA137" s="32"/>
      <c r="BB137" s="53"/>
      <c r="BC137" s="21" t="str">
        <f>IFERROR(VLOOKUP(July[[#This Row],[Drug Name8]],'Data Options'!$R$1:$S$100,2,FALSE), " ")</f>
        <v xml:space="preserve"> </v>
      </c>
      <c r="BD137" s="32"/>
      <c r="BE137" s="32"/>
      <c r="BF137" s="53"/>
      <c r="BG137" s="21" t="str">
        <f>IFERROR(VLOOKUP(July[[#This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21" t="str">
        <f>IFERROR(VLOOKUP(July[[#This Row],[Drug Name]],'Data Options'!$R$1:$S$100,2,FALSE), " ")</f>
        <v xml:space="preserve"> </v>
      </c>
      <c r="R138" s="32"/>
      <c r="S138" s="32"/>
      <c r="T138" s="53"/>
      <c r="U138" s="21" t="str">
        <f>IFERROR(VLOOKUP(July[[#This Row],[Drug Name2]],'Data Options'!$R$1:$S$100,2,FALSE), " ")</f>
        <v xml:space="preserve"> </v>
      </c>
      <c r="V138" s="32"/>
      <c r="W138" s="32"/>
      <c r="X138" s="53"/>
      <c r="Y138" s="21" t="str">
        <f>IFERROR(VLOOKUP(July[[#This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21" t="str">
        <f>IFERROR(VLOOKUP(July[[#This Row],[Drug Name4]],'Data Options'!$R$1:$S$100,2,FALSE), " ")</f>
        <v xml:space="preserve"> </v>
      </c>
      <c r="AI138" s="32"/>
      <c r="AJ138" s="32"/>
      <c r="AK138" s="53"/>
      <c r="AL138" s="21" t="str">
        <f>IFERROR(VLOOKUP(July[[#This Row],[Drug Name5]],'Data Options'!$R$1:$S$100,2,FALSE), " ")</f>
        <v xml:space="preserve"> </v>
      </c>
      <c r="AM138" s="32"/>
      <c r="AN138" s="32"/>
      <c r="AO138" s="53"/>
      <c r="AP138" s="21" t="str">
        <f>IFERROR(VLOOKUP(July[[#This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21" t="str">
        <f>IFERROR(VLOOKUP(July[[#This Row],[Drug Name7]],'Data Options'!$R$1:$S$100,2,FALSE), " ")</f>
        <v xml:space="preserve"> </v>
      </c>
      <c r="AZ138" s="32"/>
      <c r="BA138" s="32"/>
      <c r="BB138" s="53"/>
      <c r="BC138" s="21" t="str">
        <f>IFERROR(VLOOKUP(July[[#This Row],[Drug Name8]],'Data Options'!$R$1:$S$100,2,FALSE), " ")</f>
        <v xml:space="preserve"> </v>
      </c>
      <c r="BD138" s="32"/>
      <c r="BE138" s="32"/>
      <c r="BF138" s="53"/>
      <c r="BG138" s="21" t="str">
        <f>IFERROR(VLOOKUP(July[[#This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21" t="str">
        <f>IFERROR(VLOOKUP(July[[#This Row],[Drug Name]],'Data Options'!$R$1:$S$100,2,FALSE), " ")</f>
        <v xml:space="preserve"> </v>
      </c>
      <c r="R139" s="32"/>
      <c r="S139" s="32"/>
      <c r="T139" s="53"/>
      <c r="U139" s="21" t="str">
        <f>IFERROR(VLOOKUP(July[[#This Row],[Drug Name2]],'Data Options'!$R$1:$S$100,2,FALSE), " ")</f>
        <v xml:space="preserve"> </v>
      </c>
      <c r="V139" s="32"/>
      <c r="W139" s="32"/>
      <c r="X139" s="53"/>
      <c r="Y139" s="21" t="str">
        <f>IFERROR(VLOOKUP(July[[#This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21" t="str">
        <f>IFERROR(VLOOKUP(July[[#This Row],[Drug Name4]],'Data Options'!$R$1:$S$100,2,FALSE), " ")</f>
        <v xml:space="preserve"> </v>
      </c>
      <c r="AI139" s="32"/>
      <c r="AJ139" s="32"/>
      <c r="AK139" s="53"/>
      <c r="AL139" s="21" t="str">
        <f>IFERROR(VLOOKUP(July[[#This Row],[Drug Name5]],'Data Options'!$R$1:$S$100,2,FALSE), " ")</f>
        <v xml:space="preserve"> </v>
      </c>
      <c r="AM139" s="32"/>
      <c r="AN139" s="32"/>
      <c r="AO139" s="53"/>
      <c r="AP139" s="21" t="str">
        <f>IFERROR(VLOOKUP(July[[#This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21" t="str">
        <f>IFERROR(VLOOKUP(July[[#This Row],[Drug Name7]],'Data Options'!$R$1:$S$100,2,FALSE), " ")</f>
        <v xml:space="preserve"> </v>
      </c>
      <c r="AZ139" s="32"/>
      <c r="BA139" s="32"/>
      <c r="BB139" s="53"/>
      <c r="BC139" s="21" t="str">
        <f>IFERROR(VLOOKUP(July[[#This Row],[Drug Name8]],'Data Options'!$R$1:$S$100,2,FALSE), " ")</f>
        <v xml:space="preserve"> </v>
      </c>
      <c r="BD139" s="32"/>
      <c r="BE139" s="32"/>
      <c r="BF139" s="53"/>
      <c r="BG139" s="21" t="str">
        <f>IFERROR(VLOOKUP(July[[#This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21" t="str">
        <f>IFERROR(VLOOKUP(July[[#This Row],[Drug Name]],'Data Options'!$R$1:$S$100,2,FALSE), " ")</f>
        <v xml:space="preserve"> </v>
      </c>
      <c r="R140" s="32"/>
      <c r="S140" s="32"/>
      <c r="T140" s="53"/>
      <c r="U140" s="21" t="str">
        <f>IFERROR(VLOOKUP(July[[#This Row],[Drug Name2]],'Data Options'!$R$1:$S$100,2,FALSE), " ")</f>
        <v xml:space="preserve"> </v>
      </c>
      <c r="V140" s="32"/>
      <c r="W140" s="32"/>
      <c r="X140" s="53"/>
      <c r="Y140" s="21" t="str">
        <f>IFERROR(VLOOKUP(July[[#This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21" t="str">
        <f>IFERROR(VLOOKUP(July[[#This Row],[Drug Name4]],'Data Options'!$R$1:$S$100,2,FALSE), " ")</f>
        <v xml:space="preserve"> </v>
      </c>
      <c r="AI140" s="32"/>
      <c r="AJ140" s="32"/>
      <c r="AK140" s="53"/>
      <c r="AL140" s="21" t="str">
        <f>IFERROR(VLOOKUP(July[[#This Row],[Drug Name5]],'Data Options'!$R$1:$S$100,2,FALSE), " ")</f>
        <v xml:space="preserve"> </v>
      </c>
      <c r="AM140" s="32"/>
      <c r="AN140" s="32"/>
      <c r="AO140" s="53"/>
      <c r="AP140" s="21" t="str">
        <f>IFERROR(VLOOKUP(July[[#This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21" t="str">
        <f>IFERROR(VLOOKUP(July[[#This Row],[Drug Name7]],'Data Options'!$R$1:$S$100,2,FALSE), " ")</f>
        <v xml:space="preserve"> </v>
      </c>
      <c r="AZ140" s="32"/>
      <c r="BA140" s="32"/>
      <c r="BB140" s="53"/>
      <c r="BC140" s="21" t="str">
        <f>IFERROR(VLOOKUP(July[[#This Row],[Drug Name8]],'Data Options'!$R$1:$S$100,2,FALSE), " ")</f>
        <v xml:space="preserve"> </v>
      </c>
      <c r="BD140" s="32"/>
      <c r="BE140" s="32"/>
      <c r="BF140" s="53"/>
      <c r="BG140" s="21" t="str">
        <f>IFERROR(VLOOKUP(July[[#This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21" t="str">
        <f>IFERROR(VLOOKUP(July[[#This Row],[Drug Name]],'Data Options'!$R$1:$S$100,2,FALSE), " ")</f>
        <v xml:space="preserve"> </v>
      </c>
      <c r="R141" s="32"/>
      <c r="S141" s="32"/>
      <c r="T141" s="53"/>
      <c r="U141" s="21" t="str">
        <f>IFERROR(VLOOKUP(July[[#This Row],[Drug Name2]],'Data Options'!$R$1:$S$100,2,FALSE), " ")</f>
        <v xml:space="preserve"> </v>
      </c>
      <c r="V141" s="32"/>
      <c r="W141" s="32"/>
      <c r="X141" s="53"/>
      <c r="Y141" s="21" t="str">
        <f>IFERROR(VLOOKUP(July[[#This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21" t="str">
        <f>IFERROR(VLOOKUP(July[[#This Row],[Drug Name4]],'Data Options'!$R$1:$S$100,2,FALSE), " ")</f>
        <v xml:space="preserve"> </v>
      </c>
      <c r="AI141" s="32"/>
      <c r="AJ141" s="32"/>
      <c r="AK141" s="53"/>
      <c r="AL141" s="21" t="str">
        <f>IFERROR(VLOOKUP(July[[#This Row],[Drug Name5]],'Data Options'!$R$1:$S$100,2,FALSE), " ")</f>
        <v xml:space="preserve"> </v>
      </c>
      <c r="AM141" s="32"/>
      <c r="AN141" s="32"/>
      <c r="AO141" s="53"/>
      <c r="AP141" s="21" t="str">
        <f>IFERROR(VLOOKUP(July[[#This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21" t="str">
        <f>IFERROR(VLOOKUP(July[[#This Row],[Drug Name7]],'Data Options'!$R$1:$S$100,2,FALSE), " ")</f>
        <v xml:space="preserve"> </v>
      </c>
      <c r="AZ141" s="32"/>
      <c r="BA141" s="32"/>
      <c r="BB141" s="53"/>
      <c r="BC141" s="21" t="str">
        <f>IFERROR(VLOOKUP(July[[#This Row],[Drug Name8]],'Data Options'!$R$1:$S$100,2,FALSE), " ")</f>
        <v xml:space="preserve"> </v>
      </c>
      <c r="BD141" s="32"/>
      <c r="BE141" s="32"/>
      <c r="BF141" s="53"/>
      <c r="BG141" s="21" t="str">
        <f>IFERROR(VLOOKUP(July[[#This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21" t="str">
        <f>IFERROR(VLOOKUP(July[[#This Row],[Drug Name]],'Data Options'!$R$1:$S$100,2,FALSE), " ")</f>
        <v xml:space="preserve"> </v>
      </c>
      <c r="R142" s="32"/>
      <c r="S142" s="32"/>
      <c r="T142" s="53"/>
      <c r="U142" s="21" t="str">
        <f>IFERROR(VLOOKUP(July[[#This Row],[Drug Name2]],'Data Options'!$R$1:$S$100,2,FALSE), " ")</f>
        <v xml:space="preserve"> </v>
      </c>
      <c r="V142" s="32"/>
      <c r="W142" s="32"/>
      <c r="X142" s="53"/>
      <c r="Y142" s="21" t="str">
        <f>IFERROR(VLOOKUP(July[[#This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21" t="str">
        <f>IFERROR(VLOOKUP(July[[#This Row],[Drug Name4]],'Data Options'!$R$1:$S$100,2,FALSE), " ")</f>
        <v xml:space="preserve"> </v>
      </c>
      <c r="AI142" s="32"/>
      <c r="AJ142" s="32"/>
      <c r="AK142" s="53"/>
      <c r="AL142" s="21" t="str">
        <f>IFERROR(VLOOKUP(July[[#This Row],[Drug Name5]],'Data Options'!$R$1:$S$100,2,FALSE), " ")</f>
        <v xml:space="preserve"> </v>
      </c>
      <c r="AM142" s="32"/>
      <c r="AN142" s="32"/>
      <c r="AO142" s="53"/>
      <c r="AP142" s="21" t="str">
        <f>IFERROR(VLOOKUP(July[[#This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21" t="str">
        <f>IFERROR(VLOOKUP(July[[#This Row],[Drug Name7]],'Data Options'!$R$1:$S$100,2,FALSE), " ")</f>
        <v xml:space="preserve"> </v>
      </c>
      <c r="AZ142" s="32"/>
      <c r="BA142" s="32"/>
      <c r="BB142" s="53"/>
      <c r="BC142" s="21" t="str">
        <f>IFERROR(VLOOKUP(July[[#This Row],[Drug Name8]],'Data Options'!$R$1:$S$100,2,FALSE), " ")</f>
        <v xml:space="preserve"> </v>
      </c>
      <c r="BD142" s="32"/>
      <c r="BE142" s="32"/>
      <c r="BF142" s="53"/>
      <c r="BG142" s="21" t="str">
        <f>IFERROR(VLOOKUP(July[[#This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21" t="str">
        <f>IFERROR(VLOOKUP(July[[#This Row],[Drug Name]],'Data Options'!$R$1:$S$100,2,FALSE), " ")</f>
        <v xml:space="preserve"> </v>
      </c>
      <c r="R143" s="32"/>
      <c r="S143" s="32"/>
      <c r="T143" s="53"/>
      <c r="U143" s="21" t="str">
        <f>IFERROR(VLOOKUP(July[[#This Row],[Drug Name2]],'Data Options'!$R$1:$S$100,2,FALSE), " ")</f>
        <v xml:space="preserve"> </v>
      </c>
      <c r="V143" s="32"/>
      <c r="W143" s="32"/>
      <c r="X143" s="53"/>
      <c r="Y143" s="21" t="str">
        <f>IFERROR(VLOOKUP(July[[#This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21" t="str">
        <f>IFERROR(VLOOKUP(July[[#This Row],[Drug Name4]],'Data Options'!$R$1:$S$100,2,FALSE), " ")</f>
        <v xml:space="preserve"> </v>
      </c>
      <c r="AI143" s="32"/>
      <c r="AJ143" s="32"/>
      <c r="AK143" s="53"/>
      <c r="AL143" s="21" t="str">
        <f>IFERROR(VLOOKUP(July[[#This Row],[Drug Name5]],'Data Options'!$R$1:$S$100,2,FALSE), " ")</f>
        <v xml:space="preserve"> </v>
      </c>
      <c r="AM143" s="32"/>
      <c r="AN143" s="32"/>
      <c r="AO143" s="53"/>
      <c r="AP143" s="21" t="str">
        <f>IFERROR(VLOOKUP(July[[#This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21" t="str">
        <f>IFERROR(VLOOKUP(July[[#This Row],[Drug Name7]],'Data Options'!$R$1:$S$100,2,FALSE), " ")</f>
        <v xml:space="preserve"> </v>
      </c>
      <c r="AZ143" s="32"/>
      <c r="BA143" s="32"/>
      <c r="BB143" s="53"/>
      <c r="BC143" s="21" t="str">
        <f>IFERROR(VLOOKUP(July[[#This Row],[Drug Name8]],'Data Options'!$R$1:$S$100,2,FALSE), " ")</f>
        <v xml:space="preserve"> </v>
      </c>
      <c r="BD143" s="32"/>
      <c r="BE143" s="32"/>
      <c r="BF143" s="53"/>
      <c r="BG143" s="21" t="str">
        <f>IFERROR(VLOOKUP(July[[#This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21" t="str">
        <f>IFERROR(VLOOKUP(July[[#This Row],[Drug Name]],'Data Options'!$R$1:$S$100,2,FALSE), " ")</f>
        <v xml:space="preserve"> </v>
      </c>
      <c r="R144" s="32"/>
      <c r="S144" s="32"/>
      <c r="T144" s="53"/>
      <c r="U144" s="21" t="str">
        <f>IFERROR(VLOOKUP(July[[#This Row],[Drug Name2]],'Data Options'!$R$1:$S$100,2,FALSE), " ")</f>
        <v xml:space="preserve"> </v>
      </c>
      <c r="V144" s="32"/>
      <c r="W144" s="32"/>
      <c r="X144" s="53"/>
      <c r="Y144" s="21" t="str">
        <f>IFERROR(VLOOKUP(July[[#This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21" t="str">
        <f>IFERROR(VLOOKUP(July[[#This Row],[Drug Name4]],'Data Options'!$R$1:$S$100,2,FALSE), " ")</f>
        <v xml:space="preserve"> </v>
      </c>
      <c r="AI144" s="32"/>
      <c r="AJ144" s="32"/>
      <c r="AK144" s="53"/>
      <c r="AL144" s="21" t="str">
        <f>IFERROR(VLOOKUP(July[[#This Row],[Drug Name5]],'Data Options'!$R$1:$S$100,2,FALSE), " ")</f>
        <v xml:space="preserve"> </v>
      </c>
      <c r="AM144" s="32"/>
      <c r="AN144" s="32"/>
      <c r="AO144" s="53"/>
      <c r="AP144" s="21" t="str">
        <f>IFERROR(VLOOKUP(July[[#This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21" t="str">
        <f>IFERROR(VLOOKUP(July[[#This Row],[Drug Name7]],'Data Options'!$R$1:$S$100,2,FALSE), " ")</f>
        <v xml:space="preserve"> </v>
      </c>
      <c r="AZ144" s="32"/>
      <c r="BA144" s="32"/>
      <c r="BB144" s="53"/>
      <c r="BC144" s="21" t="str">
        <f>IFERROR(VLOOKUP(July[[#This Row],[Drug Name8]],'Data Options'!$R$1:$S$100,2,FALSE), " ")</f>
        <v xml:space="preserve"> </v>
      </c>
      <c r="BD144" s="32"/>
      <c r="BE144" s="32"/>
      <c r="BF144" s="53"/>
      <c r="BG144" s="21" t="str">
        <f>IFERROR(VLOOKUP(July[[#This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21" t="str">
        <f>IFERROR(VLOOKUP(July[[#This Row],[Drug Name]],'Data Options'!$R$1:$S$100,2,FALSE), " ")</f>
        <v xml:space="preserve"> </v>
      </c>
      <c r="R145" s="32"/>
      <c r="S145" s="32"/>
      <c r="T145" s="53"/>
      <c r="U145" s="21" t="str">
        <f>IFERROR(VLOOKUP(July[[#This Row],[Drug Name2]],'Data Options'!$R$1:$S$100,2,FALSE), " ")</f>
        <v xml:space="preserve"> </v>
      </c>
      <c r="V145" s="32"/>
      <c r="W145" s="32"/>
      <c r="X145" s="53"/>
      <c r="Y145" s="21" t="str">
        <f>IFERROR(VLOOKUP(July[[#This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21" t="str">
        <f>IFERROR(VLOOKUP(July[[#This Row],[Drug Name4]],'Data Options'!$R$1:$S$100,2,FALSE), " ")</f>
        <v xml:space="preserve"> </v>
      </c>
      <c r="AI145" s="32"/>
      <c r="AJ145" s="32"/>
      <c r="AK145" s="53"/>
      <c r="AL145" s="21" t="str">
        <f>IFERROR(VLOOKUP(July[[#This Row],[Drug Name5]],'Data Options'!$R$1:$S$100,2,FALSE), " ")</f>
        <v xml:space="preserve"> </v>
      </c>
      <c r="AM145" s="32"/>
      <c r="AN145" s="32"/>
      <c r="AO145" s="53"/>
      <c r="AP145" s="21" t="str">
        <f>IFERROR(VLOOKUP(July[[#This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21" t="str">
        <f>IFERROR(VLOOKUP(July[[#This Row],[Drug Name7]],'Data Options'!$R$1:$S$100,2,FALSE), " ")</f>
        <v xml:space="preserve"> </v>
      </c>
      <c r="AZ145" s="32"/>
      <c r="BA145" s="32"/>
      <c r="BB145" s="53"/>
      <c r="BC145" s="21" t="str">
        <f>IFERROR(VLOOKUP(July[[#This Row],[Drug Name8]],'Data Options'!$R$1:$S$100,2,FALSE), " ")</f>
        <v xml:space="preserve"> </v>
      </c>
      <c r="BD145" s="32"/>
      <c r="BE145" s="32"/>
      <c r="BF145" s="53"/>
      <c r="BG145" s="21" t="str">
        <f>IFERROR(VLOOKUP(July[[#This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21" t="str">
        <f>IFERROR(VLOOKUP(July[[#This Row],[Drug Name]],'Data Options'!$R$1:$S$100,2,FALSE), " ")</f>
        <v xml:space="preserve"> </v>
      </c>
      <c r="R146" s="32"/>
      <c r="S146" s="32"/>
      <c r="T146" s="53"/>
      <c r="U146" s="21" t="str">
        <f>IFERROR(VLOOKUP(July[[#This Row],[Drug Name2]],'Data Options'!$R$1:$S$100,2,FALSE), " ")</f>
        <v xml:space="preserve"> </v>
      </c>
      <c r="V146" s="32"/>
      <c r="W146" s="32"/>
      <c r="X146" s="53"/>
      <c r="Y146" s="21" t="str">
        <f>IFERROR(VLOOKUP(July[[#This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21" t="str">
        <f>IFERROR(VLOOKUP(July[[#This Row],[Drug Name4]],'Data Options'!$R$1:$S$100,2,FALSE), " ")</f>
        <v xml:space="preserve"> </v>
      </c>
      <c r="AI146" s="32"/>
      <c r="AJ146" s="32"/>
      <c r="AK146" s="53"/>
      <c r="AL146" s="21" t="str">
        <f>IFERROR(VLOOKUP(July[[#This Row],[Drug Name5]],'Data Options'!$R$1:$S$100,2,FALSE), " ")</f>
        <v xml:space="preserve"> </v>
      </c>
      <c r="AM146" s="32"/>
      <c r="AN146" s="32"/>
      <c r="AO146" s="53"/>
      <c r="AP146" s="21" t="str">
        <f>IFERROR(VLOOKUP(July[[#This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21" t="str">
        <f>IFERROR(VLOOKUP(July[[#This Row],[Drug Name7]],'Data Options'!$R$1:$S$100,2,FALSE), " ")</f>
        <v xml:space="preserve"> </v>
      </c>
      <c r="AZ146" s="32"/>
      <c r="BA146" s="32"/>
      <c r="BB146" s="53"/>
      <c r="BC146" s="21" t="str">
        <f>IFERROR(VLOOKUP(July[[#This Row],[Drug Name8]],'Data Options'!$R$1:$S$100,2,FALSE), " ")</f>
        <v xml:space="preserve"> </v>
      </c>
      <c r="BD146" s="32"/>
      <c r="BE146" s="32"/>
      <c r="BF146" s="53"/>
      <c r="BG146" s="21" t="str">
        <f>IFERROR(VLOOKUP(July[[#This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21" t="str">
        <f>IFERROR(VLOOKUP(July[[#This Row],[Drug Name]],'Data Options'!$R$1:$S$100,2,FALSE), " ")</f>
        <v xml:space="preserve"> </v>
      </c>
      <c r="R147" s="32"/>
      <c r="S147" s="32"/>
      <c r="T147" s="53"/>
      <c r="U147" s="21" t="str">
        <f>IFERROR(VLOOKUP(July[[#This Row],[Drug Name2]],'Data Options'!$R$1:$S$100,2,FALSE), " ")</f>
        <v xml:space="preserve"> </v>
      </c>
      <c r="V147" s="32"/>
      <c r="W147" s="32"/>
      <c r="X147" s="53"/>
      <c r="Y147" s="21" t="str">
        <f>IFERROR(VLOOKUP(July[[#This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21" t="str">
        <f>IFERROR(VLOOKUP(July[[#This Row],[Drug Name4]],'Data Options'!$R$1:$S$100,2,FALSE), " ")</f>
        <v xml:space="preserve"> </v>
      </c>
      <c r="AI147" s="32"/>
      <c r="AJ147" s="32"/>
      <c r="AK147" s="53"/>
      <c r="AL147" s="21" t="str">
        <f>IFERROR(VLOOKUP(July[[#This Row],[Drug Name5]],'Data Options'!$R$1:$S$100,2,FALSE), " ")</f>
        <v xml:space="preserve"> </v>
      </c>
      <c r="AM147" s="32"/>
      <c r="AN147" s="32"/>
      <c r="AO147" s="53"/>
      <c r="AP147" s="21" t="str">
        <f>IFERROR(VLOOKUP(July[[#This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21" t="str">
        <f>IFERROR(VLOOKUP(July[[#This Row],[Drug Name7]],'Data Options'!$R$1:$S$100,2,FALSE), " ")</f>
        <v xml:space="preserve"> </v>
      </c>
      <c r="AZ147" s="32"/>
      <c r="BA147" s="32"/>
      <c r="BB147" s="53"/>
      <c r="BC147" s="21" t="str">
        <f>IFERROR(VLOOKUP(July[[#This Row],[Drug Name8]],'Data Options'!$R$1:$S$100,2,FALSE), " ")</f>
        <v xml:space="preserve"> </v>
      </c>
      <c r="BD147" s="32"/>
      <c r="BE147" s="32"/>
      <c r="BF147" s="53"/>
      <c r="BG147" s="21" t="str">
        <f>IFERROR(VLOOKUP(July[[#This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21" t="str">
        <f>IFERROR(VLOOKUP(July[[#This Row],[Drug Name]],'Data Options'!$R$1:$S$100,2,FALSE), " ")</f>
        <v xml:space="preserve"> </v>
      </c>
      <c r="R148" s="32"/>
      <c r="S148" s="32"/>
      <c r="T148" s="53"/>
      <c r="U148" s="21" t="str">
        <f>IFERROR(VLOOKUP(July[[#This Row],[Drug Name2]],'Data Options'!$R$1:$S$100,2,FALSE), " ")</f>
        <v xml:space="preserve"> </v>
      </c>
      <c r="V148" s="32"/>
      <c r="W148" s="32"/>
      <c r="X148" s="53"/>
      <c r="Y148" s="21" t="str">
        <f>IFERROR(VLOOKUP(July[[#This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21" t="str">
        <f>IFERROR(VLOOKUP(July[[#This Row],[Drug Name4]],'Data Options'!$R$1:$S$100,2,FALSE), " ")</f>
        <v xml:space="preserve"> </v>
      </c>
      <c r="AI148" s="32"/>
      <c r="AJ148" s="32"/>
      <c r="AK148" s="53"/>
      <c r="AL148" s="21" t="str">
        <f>IFERROR(VLOOKUP(July[[#This Row],[Drug Name5]],'Data Options'!$R$1:$S$100,2,FALSE), " ")</f>
        <v xml:space="preserve"> </v>
      </c>
      <c r="AM148" s="32"/>
      <c r="AN148" s="32"/>
      <c r="AO148" s="53"/>
      <c r="AP148" s="21" t="str">
        <f>IFERROR(VLOOKUP(July[[#This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21" t="str">
        <f>IFERROR(VLOOKUP(July[[#This Row],[Drug Name7]],'Data Options'!$R$1:$S$100,2,FALSE), " ")</f>
        <v xml:space="preserve"> </v>
      </c>
      <c r="AZ148" s="32"/>
      <c r="BA148" s="32"/>
      <c r="BB148" s="53"/>
      <c r="BC148" s="21" t="str">
        <f>IFERROR(VLOOKUP(July[[#This Row],[Drug Name8]],'Data Options'!$R$1:$S$100,2,FALSE), " ")</f>
        <v xml:space="preserve"> </v>
      </c>
      <c r="BD148" s="32"/>
      <c r="BE148" s="32"/>
      <c r="BF148" s="53"/>
      <c r="BG148" s="21" t="str">
        <f>IFERROR(VLOOKUP(July[[#This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21" t="str">
        <f>IFERROR(VLOOKUP(July[[#This Row],[Drug Name]],'Data Options'!$R$1:$S$100,2,FALSE), " ")</f>
        <v xml:space="preserve"> </v>
      </c>
      <c r="R149" s="32"/>
      <c r="S149" s="32"/>
      <c r="T149" s="53"/>
      <c r="U149" s="21" t="str">
        <f>IFERROR(VLOOKUP(July[[#This Row],[Drug Name2]],'Data Options'!$R$1:$S$100,2,FALSE), " ")</f>
        <v xml:space="preserve"> </v>
      </c>
      <c r="V149" s="32"/>
      <c r="W149" s="32"/>
      <c r="X149" s="53"/>
      <c r="Y149" s="21" t="str">
        <f>IFERROR(VLOOKUP(July[[#This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21" t="str">
        <f>IFERROR(VLOOKUP(July[[#This Row],[Drug Name4]],'Data Options'!$R$1:$S$100,2,FALSE), " ")</f>
        <v xml:space="preserve"> </v>
      </c>
      <c r="AI149" s="32"/>
      <c r="AJ149" s="32"/>
      <c r="AK149" s="53"/>
      <c r="AL149" s="21" t="str">
        <f>IFERROR(VLOOKUP(July[[#This Row],[Drug Name5]],'Data Options'!$R$1:$S$100,2,FALSE), " ")</f>
        <v xml:space="preserve"> </v>
      </c>
      <c r="AM149" s="32"/>
      <c r="AN149" s="32"/>
      <c r="AO149" s="53"/>
      <c r="AP149" s="21" t="str">
        <f>IFERROR(VLOOKUP(July[[#This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21" t="str">
        <f>IFERROR(VLOOKUP(July[[#This Row],[Drug Name7]],'Data Options'!$R$1:$S$100,2,FALSE), " ")</f>
        <v xml:space="preserve"> </v>
      </c>
      <c r="AZ149" s="32"/>
      <c r="BA149" s="32"/>
      <c r="BB149" s="53"/>
      <c r="BC149" s="21" t="str">
        <f>IFERROR(VLOOKUP(July[[#This Row],[Drug Name8]],'Data Options'!$R$1:$S$100,2,FALSE), " ")</f>
        <v xml:space="preserve"> </v>
      </c>
      <c r="BD149" s="32"/>
      <c r="BE149" s="32"/>
      <c r="BF149" s="53"/>
      <c r="BG149" s="21" t="str">
        <f>IFERROR(VLOOKUP(July[[#This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21" t="str">
        <f>IFERROR(VLOOKUP(July[[#This Row],[Drug Name]],'Data Options'!$R$1:$S$100,2,FALSE), " ")</f>
        <v xml:space="preserve"> </v>
      </c>
      <c r="R150" s="32"/>
      <c r="S150" s="32"/>
      <c r="T150" s="53"/>
      <c r="U150" s="21" t="str">
        <f>IFERROR(VLOOKUP(July[[#This Row],[Drug Name2]],'Data Options'!$R$1:$S$100,2,FALSE), " ")</f>
        <v xml:space="preserve"> </v>
      </c>
      <c r="V150" s="32"/>
      <c r="W150" s="32"/>
      <c r="X150" s="53"/>
      <c r="Y150" s="21" t="str">
        <f>IFERROR(VLOOKUP(July[[#This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21" t="str">
        <f>IFERROR(VLOOKUP(July[[#This Row],[Drug Name4]],'Data Options'!$R$1:$S$100,2,FALSE), " ")</f>
        <v xml:space="preserve"> </v>
      </c>
      <c r="AI150" s="32"/>
      <c r="AJ150" s="32"/>
      <c r="AK150" s="53"/>
      <c r="AL150" s="21" t="str">
        <f>IFERROR(VLOOKUP(July[[#This Row],[Drug Name5]],'Data Options'!$R$1:$S$100,2,FALSE), " ")</f>
        <v xml:space="preserve"> </v>
      </c>
      <c r="AM150" s="32"/>
      <c r="AN150" s="32"/>
      <c r="AO150" s="53"/>
      <c r="AP150" s="21" t="str">
        <f>IFERROR(VLOOKUP(July[[#This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21" t="str">
        <f>IFERROR(VLOOKUP(July[[#This Row],[Drug Name7]],'Data Options'!$R$1:$S$100,2,FALSE), " ")</f>
        <v xml:space="preserve"> </v>
      </c>
      <c r="AZ150" s="32"/>
      <c r="BA150" s="32"/>
      <c r="BB150" s="53"/>
      <c r="BC150" s="21" t="str">
        <f>IFERROR(VLOOKUP(July[[#This Row],[Drug Name8]],'Data Options'!$R$1:$S$100,2,FALSE), " ")</f>
        <v xml:space="preserve"> </v>
      </c>
      <c r="BD150" s="32"/>
      <c r="BE150" s="32"/>
      <c r="BF150" s="53"/>
      <c r="BG150" s="21" t="str">
        <f>IFERROR(VLOOKUP(July[[#This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21" t="str">
        <f>IFERROR(VLOOKUP(July[[#This Row],[Drug Name]],'Data Options'!$R$1:$S$100,2,FALSE), " ")</f>
        <v xml:space="preserve"> </v>
      </c>
      <c r="R151" s="32"/>
      <c r="S151" s="32"/>
      <c r="T151" s="53"/>
      <c r="U151" s="21" t="str">
        <f>IFERROR(VLOOKUP(July[[#This Row],[Drug Name2]],'Data Options'!$R$1:$S$100,2,FALSE), " ")</f>
        <v xml:space="preserve"> </v>
      </c>
      <c r="V151" s="32"/>
      <c r="W151" s="32"/>
      <c r="X151" s="53"/>
      <c r="Y151" s="21" t="str">
        <f>IFERROR(VLOOKUP(July[[#This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21" t="str">
        <f>IFERROR(VLOOKUP(July[[#This Row],[Drug Name4]],'Data Options'!$R$1:$S$100,2,FALSE), " ")</f>
        <v xml:space="preserve"> </v>
      </c>
      <c r="AI151" s="32"/>
      <c r="AJ151" s="32"/>
      <c r="AK151" s="53"/>
      <c r="AL151" s="21" t="str">
        <f>IFERROR(VLOOKUP(July[[#This Row],[Drug Name5]],'Data Options'!$R$1:$S$100,2,FALSE), " ")</f>
        <v xml:space="preserve"> </v>
      </c>
      <c r="AM151" s="32"/>
      <c r="AN151" s="32"/>
      <c r="AO151" s="53"/>
      <c r="AP151" s="21" t="str">
        <f>IFERROR(VLOOKUP(July[[#This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21" t="str">
        <f>IFERROR(VLOOKUP(July[[#This Row],[Drug Name7]],'Data Options'!$R$1:$S$100,2,FALSE), " ")</f>
        <v xml:space="preserve"> </v>
      </c>
      <c r="AZ151" s="32"/>
      <c r="BA151" s="32"/>
      <c r="BB151" s="53"/>
      <c r="BC151" s="21" t="str">
        <f>IFERROR(VLOOKUP(July[[#This Row],[Drug Name8]],'Data Options'!$R$1:$S$100,2,FALSE), " ")</f>
        <v xml:space="preserve"> </v>
      </c>
      <c r="BD151" s="32"/>
      <c r="BE151" s="32"/>
      <c r="BF151" s="53"/>
      <c r="BG151" s="21" t="str">
        <f>IFERROR(VLOOKUP(July[[#This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21" t="str">
        <f>IFERROR(VLOOKUP(July[[#This Row],[Drug Name]],'Data Options'!$R$1:$S$100,2,FALSE), " ")</f>
        <v xml:space="preserve"> </v>
      </c>
      <c r="R152" s="32"/>
      <c r="S152" s="32"/>
      <c r="T152" s="53"/>
      <c r="U152" s="21" t="str">
        <f>IFERROR(VLOOKUP(July[[#This Row],[Drug Name2]],'Data Options'!$R$1:$S$100,2,FALSE), " ")</f>
        <v xml:space="preserve"> </v>
      </c>
      <c r="V152" s="32"/>
      <c r="W152" s="32"/>
      <c r="X152" s="53"/>
      <c r="Y152" s="21" t="str">
        <f>IFERROR(VLOOKUP(July[[#This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21" t="str">
        <f>IFERROR(VLOOKUP(July[[#This Row],[Drug Name4]],'Data Options'!$R$1:$S$100,2,FALSE), " ")</f>
        <v xml:space="preserve"> </v>
      </c>
      <c r="AI152" s="32"/>
      <c r="AJ152" s="32"/>
      <c r="AK152" s="53"/>
      <c r="AL152" s="21" t="str">
        <f>IFERROR(VLOOKUP(July[[#This Row],[Drug Name5]],'Data Options'!$R$1:$S$100,2,FALSE), " ")</f>
        <v xml:space="preserve"> </v>
      </c>
      <c r="AM152" s="32"/>
      <c r="AN152" s="32"/>
      <c r="AO152" s="53"/>
      <c r="AP152" s="21" t="str">
        <f>IFERROR(VLOOKUP(July[[#This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21" t="str">
        <f>IFERROR(VLOOKUP(July[[#This Row],[Drug Name7]],'Data Options'!$R$1:$S$100,2,FALSE), " ")</f>
        <v xml:space="preserve"> </v>
      </c>
      <c r="AZ152" s="32"/>
      <c r="BA152" s="32"/>
      <c r="BB152" s="53"/>
      <c r="BC152" s="21" t="str">
        <f>IFERROR(VLOOKUP(July[[#This Row],[Drug Name8]],'Data Options'!$R$1:$S$100,2,FALSE), " ")</f>
        <v xml:space="preserve"> </v>
      </c>
      <c r="BD152" s="32"/>
      <c r="BE152" s="32"/>
      <c r="BF152" s="53"/>
      <c r="BG152" s="21" t="str">
        <f>IFERROR(VLOOKUP(July[[#This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21" t="str">
        <f>IFERROR(VLOOKUP(July[[#This Row],[Drug Name]],'Data Options'!$R$1:$S$100,2,FALSE), " ")</f>
        <v xml:space="preserve"> </v>
      </c>
      <c r="R153" s="32"/>
      <c r="S153" s="32"/>
      <c r="T153" s="53"/>
      <c r="U153" s="21" t="str">
        <f>IFERROR(VLOOKUP(July[[#This Row],[Drug Name2]],'Data Options'!$R$1:$S$100,2,FALSE), " ")</f>
        <v xml:space="preserve"> </v>
      </c>
      <c r="V153" s="32"/>
      <c r="W153" s="32"/>
      <c r="X153" s="53"/>
      <c r="Y153" s="21" t="str">
        <f>IFERROR(VLOOKUP(July[[#This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21" t="str">
        <f>IFERROR(VLOOKUP(July[[#This Row],[Drug Name4]],'Data Options'!$R$1:$S$100,2,FALSE), " ")</f>
        <v xml:space="preserve"> </v>
      </c>
      <c r="AI153" s="32"/>
      <c r="AJ153" s="32"/>
      <c r="AK153" s="53"/>
      <c r="AL153" s="21" t="str">
        <f>IFERROR(VLOOKUP(July[[#This Row],[Drug Name5]],'Data Options'!$R$1:$S$100,2,FALSE), " ")</f>
        <v xml:space="preserve"> </v>
      </c>
      <c r="AM153" s="32"/>
      <c r="AN153" s="32"/>
      <c r="AO153" s="53"/>
      <c r="AP153" s="21" t="str">
        <f>IFERROR(VLOOKUP(July[[#This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21" t="str">
        <f>IFERROR(VLOOKUP(July[[#This Row],[Drug Name7]],'Data Options'!$R$1:$S$100,2,FALSE), " ")</f>
        <v xml:space="preserve"> </v>
      </c>
      <c r="AZ153" s="32"/>
      <c r="BA153" s="32"/>
      <c r="BB153" s="53"/>
      <c r="BC153" s="21" t="str">
        <f>IFERROR(VLOOKUP(July[[#This Row],[Drug Name8]],'Data Options'!$R$1:$S$100,2,FALSE), " ")</f>
        <v xml:space="preserve"> </v>
      </c>
      <c r="BD153" s="32"/>
      <c r="BE153" s="32"/>
      <c r="BF153" s="53"/>
      <c r="BG153" s="21" t="str">
        <f>IFERROR(VLOOKUP(July[[#This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21" t="str">
        <f>IFERROR(VLOOKUP(July[[#This Row],[Drug Name]],'Data Options'!$R$1:$S$100,2,FALSE), " ")</f>
        <v xml:space="preserve"> </v>
      </c>
      <c r="R154" s="32"/>
      <c r="S154" s="32"/>
      <c r="T154" s="53"/>
      <c r="U154" s="21" t="str">
        <f>IFERROR(VLOOKUP(July[[#This Row],[Drug Name2]],'Data Options'!$R$1:$S$100,2,FALSE), " ")</f>
        <v xml:space="preserve"> </v>
      </c>
      <c r="V154" s="32"/>
      <c r="W154" s="32"/>
      <c r="X154" s="53"/>
      <c r="Y154" s="21" t="str">
        <f>IFERROR(VLOOKUP(July[[#This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21" t="str">
        <f>IFERROR(VLOOKUP(July[[#This Row],[Drug Name4]],'Data Options'!$R$1:$S$100,2,FALSE), " ")</f>
        <v xml:space="preserve"> </v>
      </c>
      <c r="AI154" s="32"/>
      <c r="AJ154" s="32"/>
      <c r="AK154" s="53"/>
      <c r="AL154" s="21" t="str">
        <f>IFERROR(VLOOKUP(July[[#This Row],[Drug Name5]],'Data Options'!$R$1:$S$100,2,FALSE), " ")</f>
        <v xml:space="preserve"> </v>
      </c>
      <c r="AM154" s="32"/>
      <c r="AN154" s="32"/>
      <c r="AO154" s="53"/>
      <c r="AP154" s="21" t="str">
        <f>IFERROR(VLOOKUP(July[[#This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21" t="str">
        <f>IFERROR(VLOOKUP(July[[#This Row],[Drug Name7]],'Data Options'!$R$1:$S$100,2,FALSE), " ")</f>
        <v xml:space="preserve"> </v>
      </c>
      <c r="AZ154" s="32"/>
      <c r="BA154" s="32"/>
      <c r="BB154" s="53"/>
      <c r="BC154" s="21" t="str">
        <f>IFERROR(VLOOKUP(July[[#This Row],[Drug Name8]],'Data Options'!$R$1:$S$100,2,FALSE), " ")</f>
        <v xml:space="preserve"> </v>
      </c>
      <c r="BD154" s="32"/>
      <c r="BE154" s="32"/>
      <c r="BF154" s="53"/>
      <c r="BG154" s="21" t="str">
        <f>IFERROR(VLOOKUP(July[[#This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21" t="str">
        <f>IFERROR(VLOOKUP(July[[#This Row],[Drug Name]],'Data Options'!$R$1:$S$100,2,FALSE), " ")</f>
        <v xml:space="preserve"> </v>
      </c>
      <c r="R155" s="32"/>
      <c r="S155" s="32"/>
      <c r="T155" s="53"/>
      <c r="U155" s="21" t="str">
        <f>IFERROR(VLOOKUP(July[[#This Row],[Drug Name2]],'Data Options'!$R$1:$S$100,2,FALSE), " ")</f>
        <v xml:space="preserve"> </v>
      </c>
      <c r="V155" s="32"/>
      <c r="W155" s="32"/>
      <c r="X155" s="53"/>
      <c r="Y155" s="21" t="str">
        <f>IFERROR(VLOOKUP(July[[#This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21" t="str">
        <f>IFERROR(VLOOKUP(July[[#This Row],[Drug Name4]],'Data Options'!$R$1:$S$100,2,FALSE), " ")</f>
        <v xml:space="preserve"> </v>
      </c>
      <c r="AI155" s="32"/>
      <c r="AJ155" s="32"/>
      <c r="AK155" s="53"/>
      <c r="AL155" s="21" t="str">
        <f>IFERROR(VLOOKUP(July[[#This Row],[Drug Name5]],'Data Options'!$R$1:$S$100,2,FALSE), " ")</f>
        <v xml:space="preserve"> </v>
      </c>
      <c r="AM155" s="32"/>
      <c r="AN155" s="32"/>
      <c r="AO155" s="53"/>
      <c r="AP155" s="21" t="str">
        <f>IFERROR(VLOOKUP(July[[#This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21" t="str">
        <f>IFERROR(VLOOKUP(July[[#This Row],[Drug Name7]],'Data Options'!$R$1:$S$100,2,FALSE), " ")</f>
        <v xml:space="preserve"> </v>
      </c>
      <c r="AZ155" s="32"/>
      <c r="BA155" s="32"/>
      <c r="BB155" s="53"/>
      <c r="BC155" s="21" t="str">
        <f>IFERROR(VLOOKUP(July[[#This Row],[Drug Name8]],'Data Options'!$R$1:$S$100,2,FALSE), " ")</f>
        <v xml:space="preserve"> </v>
      </c>
      <c r="BD155" s="32"/>
      <c r="BE155" s="32"/>
      <c r="BF155" s="53"/>
      <c r="BG155" s="21" t="str">
        <f>IFERROR(VLOOKUP(July[[#This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21" t="str">
        <f>IFERROR(VLOOKUP(July[[#This Row],[Drug Name]],'Data Options'!$R$1:$S$100,2,FALSE), " ")</f>
        <v xml:space="preserve"> </v>
      </c>
      <c r="R156" s="32"/>
      <c r="S156" s="32"/>
      <c r="T156" s="53"/>
      <c r="U156" s="21" t="str">
        <f>IFERROR(VLOOKUP(July[[#This Row],[Drug Name2]],'Data Options'!$R$1:$S$100,2,FALSE), " ")</f>
        <v xml:space="preserve"> </v>
      </c>
      <c r="V156" s="32"/>
      <c r="W156" s="32"/>
      <c r="X156" s="53"/>
      <c r="Y156" s="21" t="str">
        <f>IFERROR(VLOOKUP(July[[#This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21" t="str">
        <f>IFERROR(VLOOKUP(July[[#This Row],[Drug Name4]],'Data Options'!$R$1:$S$100,2,FALSE), " ")</f>
        <v xml:space="preserve"> </v>
      </c>
      <c r="AI156" s="32"/>
      <c r="AJ156" s="32"/>
      <c r="AK156" s="53"/>
      <c r="AL156" s="21" t="str">
        <f>IFERROR(VLOOKUP(July[[#This Row],[Drug Name5]],'Data Options'!$R$1:$S$100,2,FALSE), " ")</f>
        <v xml:space="preserve"> </v>
      </c>
      <c r="AM156" s="32"/>
      <c r="AN156" s="32"/>
      <c r="AO156" s="53"/>
      <c r="AP156" s="21" t="str">
        <f>IFERROR(VLOOKUP(July[[#This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21" t="str">
        <f>IFERROR(VLOOKUP(July[[#This Row],[Drug Name7]],'Data Options'!$R$1:$S$100,2,FALSE), " ")</f>
        <v xml:space="preserve"> </v>
      </c>
      <c r="AZ156" s="32"/>
      <c r="BA156" s="32"/>
      <c r="BB156" s="53"/>
      <c r="BC156" s="21" t="str">
        <f>IFERROR(VLOOKUP(July[[#This Row],[Drug Name8]],'Data Options'!$R$1:$S$100,2,FALSE), " ")</f>
        <v xml:space="preserve"> </v>
      </c>
      <c r="BD156" s="32"/>
      <c r="BE156" s="32"/>
      <c r="BF156" s="53"/>
      <c r="BG156" s="21" t="str">
        <f>IFERROR(VLOOKUP(July[[#This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21" t="str">
        <f>IFERROR(VLOOKUP(July[[#This Row],[Drug Name]],'Data Options'!$R$1:$S$100,2,FALSE), " ")</f>
        <v xml:space="preserve"> </v>
      </c>
      <c r="R157" s="32"/>
      <c r="S157" s="32"/>
      <c r="T157" s="53"/>
      <c r="U157" s="21" t="str">
        <f>IFERROR(VLOOKUP(July[[#This Row],[Drug Name2]],'Data Options'!$R$1:$S$100,2,FALSE), " ")</f>
        <v xml:space="preserve"> </v>
      </c>
      <c r="V157" s="32"/>
      <c r="W157" s="32"/>
      <c r="X157" s="53"/>
      <c r="Y157" s="21" t="str">
        <f>IFERROR(VLOOKUP(July[[#This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21" t="str">
        <f>IFERROR(VLOOKUP(July[[#This Row],[Drug Name4]],'Data Options'!$R$1:$S$100,2,FALSE), " ")</f>
        <v xml:space="preserve"> </v>
      </c>
      <c r="AI157" s="32"/>
      <c r="AJ157" s="32"/>
      <c r="AK157" s="53"/>
      <c r="AL157" s="21" t="str">
        <f>IFERROR(VLOOKUP(July[[#This Row],[Drug Name5]],'Data Options'!$R$1:$S$100,2,FALSE), " ")</f>
        <v xml:space="preserve"> </v>
      </c>
      <c r="AM157" s="32"/>
      <c r="AN157" s="32"/>
      <c r="AO157" s="53"/>
      <c r="AP157" s="21" t="str">
        <f>IFERROR(VLOOKUP(July[[#This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21" t="str">
        <f>IFERROR(VLOOKUP(July[[#This Row],[Drug Name7]],'Data Options'!$R$1:$S$100,2,FALSE), " ")</f>
        <v xml:space="preserve"> </v>
      </c>
      <c r="AZ157" s="32"/>
      <c r="BA157" s="32"/>
      <c r="BB157" s="53"/>
      <c r="BC157" s="21" t="str">
        <f>IFERROR(VLOOKUP(July[[#This Row],[Drug Name8]],'Data Options'!$R$1:$S$100,2,FALSE), " ")</f>
        <v xml:space="preserve"> </v>
      </c>
      <c r="BD157" s="32"/>
      <c r="BE157" s="32"/>
      <c r="BF157" s="53"/>
      <c r="BG157" s="21" t="str">
        <f>IFERROR(VLOOKUP(July[[#This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21" t="str">
        <f>IFERROR(VLOOKUP(July[[#This Row],[Drug Name]],'Data Options'!$R$1:$S$100,2,FALSE), " ")</f>
        <v xml:space="preserve"> </v>
      </c>
      <c r="R158" s="32"/>
      <c r="S158" s="32"/>
      <c r="T158" s="53"/>
      <c r="U158" s="21" t="str">
        <f>IFERROR(VLOOKUP(July[[#This Row],[Drug Name2]],'Data Options'!$R$1:$S$100,2,FALSE), " ")</f>
        <v xml:space="preserve"> </v>
      </c>
      <c r="V158" s="32"/>
      <c r="W158" s="32"/>
      <c r="X158" s="53"/>
      <c r="Y158" s="21" t="str">
        <f>IFERROR(VLOOKUP(July[[#This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21" t="str">
        <f>IFERROR(VLOOKUP(July[[#This Row],[Drug Name4]],'Data Options'!$R$1:$S$100,2,FALSE), " ")</f>
        <v xml:space="preserve"> </v>
      </c>
      <c r="AI158" s="32"/>
      <c r="AJ158" s="32"/>
      <c r="AK158" s="53"/>
      <c r="AL158" s="21" t="str">
        <f>IFERROR(VLOOKUP(July[[#This Row],[Drug Name5]],'Data Options'!$R$1:$S$100,2,FALSE), " ")</f>
        <v xml:space="preserve"> </v>
      </c>
      <c r="AM158" s="32"/>
      <c r="AN158" s="32"/>
      <c r="AO158" s="53"/>
      <c r="AP158" s="21" t="str">
        <f>IFERROR(VLOOKUP(July[[#This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21" t="str">
        <f>IFERROR(VLOOKUP(July[[#This Row],[Drug Name7]],'Data Options'!$R$1:$S$100,2,FALSE), " ")</f>
        <v xml:space="preserve"> </v>
      </c>
      <c r="AZ158" s="32"/>
      <c r="BA158" s="32"/>
      <c r="BB158" s="53"/>
      <c r="BC158" s="21" t="str">
        <f>IFERROR(VLOOKUP(July[[#This Row],[Drug Name8]],'Data Options'!$R$1:$S$100,2,FALSE), " ")</f>
        <v xml:space="preserve"> </v>
      </c>
      <c r="BD158" s="32"/>
      <c r="BE158" s="32"/>
      <c r="BF158" s="53"/>
      <c r="BG158" s="21" t="str">
        <f>IFERROR(VLOOKUP(July[[#This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21" t="str">
        <f>IFERROR(VLOOKUP(July[[#This Row],[Drug Name]],'Data Options'!$R$1:$S$100,2,FALSE), " ")</f>
        <v xml:space="preserve"> </v>
      </c>
      <c r="R159" s="32"/>
      <c r="S159" s="32"/>
      <c r="T159" s="53"/>
      <c r="U159" s="21" t="str">
        <f>IFERROR(VLOOKUP(July[[#This Row],[Drug Name2]],'Data Options'!$R$1:$S$100,2,FALSE), " ")</f>
        <v xml:space="preserve"> </v>
      </c>
      <c r="V159" s="32"/>
      <c r="W159" s="32"/>
      <c r="X159" s="53"/>
      <c r="Y159" s="21" t="str">
        <f>IFERROR(VLOOKUP(July[[#This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21" t="str">
        <f>IFERROR(VLOOKUP(July[[#This Row],[Drug Name4]],'Data Options'!$R$1:$S$100,2,FALSE), " ")</f>
        <v xml:space="preserve"> </v>
      </c>
      <c r="AI159" s="32"/>
      <c r="AJ159" s="32"/>
      <c r="AK159" s="53"/>
      <c r="AL159" s="21" t="str">
        <f>IFERROR(VLOOKUP(July[[#This Row],[Drug Name5]],'Data Options'!$R$1:$S$100,2,FALSE), " ")</f>
        <v xml:space="preserve"> </v>
      </c>
      <c r="AM159" s="32"/>
      <c r="AN159" s="32"/>
      <c r="AO159" s="53"/>
      <c r="AP159" s="21" t="str">
        <f>IFERROR(VLOOKUP(July[[#This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21" t="str">
        <f>IFERROR(VLOOKUP(July[[#This Row],[Drug Name7]],'Data Options'!$R$1:$S$100,2,FALSE), " ")</f>
        <v xml:space="preserve"> </v>
      </c>
      <c r="AZ159" s="32"/>
      <c r="BA159" s="32"/>
      <c r="BB159" s="53"/>
      <c r="BC159" s="21" t="str">
        <f>IFERROR(VLOOKUP(July[[#This Row],[Drug Name8]],'Data Options'!$R$1:$S$100,2,FALSE), " ")</f>
        <v xml:space="preserve"> </v>
      </c>
      <c r="BD159" s="32"/>
      <c r="BE159" s="32"/>
      <c r="BF159" s="53"/>
      <c r="BG159" s="21" t="str">
        <f>IFERROR(VLOOKUP(July[[#This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21" t="str">
        <f>IFERROR(VLOOKUP(July[[#This Row],[Drug Name]],'Data Options'!$R$1:$S$100,2,FALSE), " ")</f>
        <v xml:space="preserve"> </v>
      </c>
      <c r="R160" s="32"/>
      <c r="S160" s="32"/>
      <c r="T160" s="53"/>
      <c r="U160" s="21" t="str">
        <f>IFERROR(VLOOKUP(July[[#This Row],[Drug Name2]],'Data Options'!$R$1:$S$100,2,FALSE), " ")</f>
        <v xml:space="preserve"> </v>
      </c>
      <c r="V160" s="32"/>
      <c r="W160" s="32"/>
      <c r="X160" s="53"/>
      <c r="Y160" s="21" t="str">
        <f>IFERROR(VLOOKUP(July[[#This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21" t="str">
        <f>IFERROR(VLOOKUP(July[[#This Row],[Drug Name4]],'Data Options'!$R$1:$S$100,2,FALSE), " ")</f>
        <v xml:space="preserve"> </v>
      </c>
      <c r="AI160" s="32"/>
      <c r="AJ160" s="32"/>
      <c r="AK160" s="53"/>
      <c r="AL160" s="21" t="str">
        <f>IFERROR(VLOOKUP(July[[#This Row],[Drug Name5]],'Data Options'!$R$1:$S$100,2,FALSE), " ")</f>
        <v xml:space="preserve"> </v>
      </c>
      <c r="AM160" s="32"/>
      <c r="AN160" s="32"/>
      <c r="AO160" s="53"/>
      <c r="AP160" s="21" t="str">
        <f>IFERROR(VLOOKUP(July[[#This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21" t="str">
        <f>IFERROR(VLOOKUP(July[[#This Row],[Drug Name7]],'Data Options'!$R$1:$S$100,2,FALSE), " ")</f>
        <v xml:space="preserve"> </v>
      </c>
      <c r="AZ160" s="32"/>
      <c r="BA160" s="32"/>
      <c r="BB160" s="53"/>
      <c r="BC160" s="21" t="str">
        <f>IFERROR(VLOOKUP(July[[#This Row],[Drug Name8]],'Data Options'!$R$1:$S$100,2,FALSE), " ")</f>
        <v xml:space="preserve"> </v>
      </c>
      <c r="BD160" s="32"/>
      <c r="BE160" s="32"/>
      <c r="BF160" s="53"/>
      <c r="BG160" s="21" t="str">
        <f>IFERROR(VLOOKUP(July[[#This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21" t="str">
        <f>IFERROR(VLOOKUP(July[[#This Row],[Drug Name]],'Data Options'!$R$1:$S$100,2,FALSE), " ")</f>
        <v xml:space="preserve"> </v>
      </c>
      <c r="R161" s="32"/>
      <c r="S161" s="32"/>
      <c r="T161" s="53"/>
      <c r="U161" s="21" t="str">
        <f>IFERROR(VLOOKUP(July[[#This Row],[Drug Name2]],'Data Options'!$R$1:$S$100,2,FALSE), " ")</f>
        <v xml:space="preserve"> </v>
      </c>
      <c r="V161" s="32"/>
      <c r="W161" s="32"/>
      <c r="X161" s="53"/>
      <c r="Y161" s="21" t="str">
        <f>IFERROR(VLOOKUP(July[[#This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21" t="str">
        <f>IFERROR(VLOOKUP(July[[#This Row],[Drug Name4]],'Data Options'!$R$1:$S$100,2,FALSE), " ")</f>
        <v xml:space="preserve"> </v>
      </c>
      <c r="AI161" s="32"/>
      <c r="AJ161" s="32"/>
      <c r="AK161" s="53"/>
      <c r="AL161" s="21" t="str">
        <f>IFERROR(VLOOKUP(July[[#This Row],[Drug Name5]],'Data Options'!$R$1:$S$100,2,FALSE), " ")</f>
        <v xml:space="preserve"> </v>
      </c>
      <c r="AM161" s="32"/>
      <c r="AN161" s="32"/>
      <c r="AO161" s="53"/>
      <c r="AP161" s="21" t="str">
        <f>IFERROR(VLOOKUP(July[[#This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21" t="str">
        <f>IFERROR(VLOOKUP(July[[#This Row],[Drug Name7]],'Data Options'!$R$1:$S$100,2,FALSE), " ")</f>
        <v xml:space="preserve"> </v>
      </c>
      <c r="AZ161" s="32"/>
      <c r="BA161" s="32"/>
      <c r="BB161" s="53"/>
      <c r="BC161" s="21" t="str">
        <f>IFERROR(VLOOKUP(July[[#This Row],[Drug Name8]],'Data Options'!$R$1:$S$100,2,FALSE), " ")</f>
        <v xml:space="preserve"> </v>
      </c>
      <c r="BD161" s="32"/>
      <c r="BE161" s="32"/>
      <c r="BF161" s="53"/>
      <c r="BG161" s="21" t="str">
        <f>IFERROR(VLOOKUP(July[[#This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21" t="str">
        <f>IFERROR(VLOOKUP(July[[#This Row],[Drug Name]],'Data Options'!$R$1:$S$100,2,FALSE), " ")</f>
        <v xml:space="preserve"> </v>
      </c>
      <c r="R162" s="32"/>
      <c r="S162" s="32"/>
      <c r="T162" s="53"/>
      <c r="U162" s="21" t="str">
        <f>IFERROR(VLOOKUP(July[[#This Row],[Drug Name2]],'Data Options'!$R$1:$S$100,2,FALSE), " ")</f>
        <v xml:space="preserve"> </v>
      </c>
      <c r="V162" s="32"/>
      <c r="W162" s="32"/>
      <c r="X162" s="53"/>
      <c r="Y162" s="21" t="str">
        <f>IFERROR(VLOOKUP(July[[#This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21" t="str">
        <f>IFERROR(VLOOKUP(July[[#This Row],[Drug Name4]],'Data Options'!$R$1:$S$100,2,FALSE), " ")</f>
        <v xml:space="preserve"> </v>
      </c>
      <c r="AI162" s="32"/>
      <c r="AJ162" s="32"/>
      <c r="AK162" s="53"/>
      <c r="AL162" s="21" t="str">
        <f>IFERROR(VLOOKUP(July[[#This Row],[Drug Name5]],'Data Options'!$R$1:$S$100,2,FALSE), " ")</f>
        <v xml:space="preserve"> </v>
      </c>
      <c r="AM162" s="32"/>
      <c r="AN162" s="32"/>
      <c r="AO162" s="53"/>
      <c r="AP162" s="21" t="str">
        <f>IFERROR(VLOOKUP(July[[#This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21" t="str">
        <f>IFERROR(VLOOKUP(July[[#This Row],[Drug Name7]],'Data Options'!$R$1:$S$100,2,FALSE), " ")</f>
        <v xml:space="preserve"> </v>
      </c>
      <c r="AZ162" s="32"/>
      <c r="BA162" s="32"/>
      <c r="BB162" s="53"/>
      <c r="BC162" s="21" t="str">
        <f>IFERROR(VLOOKUP(July[[#This Row],[Drug Name8]],'Data Options'!$R$1:$S$100,2,FALSE), " ")</f>
        <v xml:space="preserve"> </v>
      </c>
      <c r="BD162" s="32"/>
      <c r="BE162" s="32"/>
      <c r="BF162" s="53"/>
      <c r="BG162" s="21" t="str">
        <f>IFERROR(VLOOKUP(July[[#This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21" t="str">
        <f>IFERROR(VLOOKUP(July[[#This Row],[Drug Name]],'Data Options'!$R$1:$S$100,2,FALSE), " ")</f>
        <v xml:space="preserve"> </v>
      </c>
      <c r="R163" s="32"/>
      <c r="S163" s="32"/>
      <c r="T163" s="53"/>
      <c r="U163" s="21" t="str">
        <f>IFERROR(VLOOKUP(July[[#This Row],[Drug Name2]],'Data Options'!$R$1:$S$100,2,FALSE), " ")</f>
        <v xml:space="preserve"> </v>
      </c>
      <c r="V163" s="32"/>
      <c r="W163" s="32"/>
      <c r="X163" s="53"/>
      <c r="Y163" s="21" t="str">
        <f>IFERROR(VLOOKUP(July[[#This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21" t="str">
        <f>IFERROR(VLOOKUP(July[[#This Row],[Drug Name4]],'Data Options'!$R$1:$S$100,2,FALSE), " ")</f>
        <v xml:space="preserve"> </v>
      </c>
      <c r="AI163" s="32"/>
      <c r="AJ163" s="32"/>
      <c r="AK163" s="53"/>
      <c r="AL163" s="21" t="str">
        <f>IFERROR(VLOOKUP(July[[#This Row],[Drug Name5]],'Data Options'!$R$1:$S$100,2,FALSE), " ")</f>
        <v xml:space="preserve"> </v>
      </c>
      <c r="AM163" s="32"/>
      <c r="AN163" s="32"/>
      <c r="AO163" s="53"/>
      <c r="AP163" s="21" t="str">
        <f>IFERROR(VLOOKUP(July[[#This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21" t="str">
        <f>IFERROR(VLOOKUP(July[[#This Row],[Drug Name7]],'Data Options'!$R$1:$S$100,2,FALSE), " ")</f>
        <v xml:space="preserve"> </v>
      </c>
      <c r="AZ163" s="32"/>
      <c r="BA163" s="32"/>
      <c r="BB163" s="53"/>
      <c r="BC163" s="21" t="str">
        <f>IFERROR(VLOOKUP(July[[#This Row],[Drug Name8]],'Data Options'!$R$1:$S$100,2,FALSE), " ")</f>
        <v xml:space="preserve"> </v>
      </c>
      <c r="BD163" s="32"/>
      <c r="BE163" s="32"/>
      <c r="BF163" s="53"/>
      <c r="BG163" s="21" t="str">
        <f>IFERROR(VLOOKUP(July[[#This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21" t="str">
        <f>IFERROR(VLOOKUP(July[[#This Row],[Drug Name]],'Data Options'!$R$1:$S$100,2,FALSE), " ")</f>
        <v xml:space="preserve"> </v>
      </c>
      <c r="R164" s="32"/>
      <c r="S164" s="32"/>
      <c r="T164" s="53"/>
      <c r="U164" s="21" t="str">
        <f>IFERROR(VLOOKUP(July[[#This Row],[Drug Name2]],'Data Options'!$R$1:$S$100,2,FALSE), " ")</f>
        <v xml:space="preserve"> </v>
      </c>
      <c r="V164" s="32"/>
      <c r="W164" s="32"/>
      <c r="X164" s="53"/>
      <c r="Y164" s="21" t="str">
        <f>IFERROR(VLOOKUP(July[[#This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21" t="str">
        <f>IFERROR(VLOOKUP(July[[#This Row],[Drug Name4]],'Data Options'!$R$1:$S$100,2,FALSE), " ")</f>
        <v xml:space="preserve"> </v>
      </c>
      <c r="AI164" s="32"/>
      <c r="AJ164" s="32"/>
      <c r="AK164" s="53"/>
      <c r="AL164" s="21" t="str">
        <f>IFERROR(VLOOKUP(July[[#This Row],[Drug Name5]],'Data Options'!$R$1:$S$100,2,FALSE), " ")</f>
        <v xml:space="preserve"> </v>
      </c>
      <c r="AM164" s="32"/>
      <c r="AN164" s="32"/>
      <c r="AO164" s="53"/>
      <c r="AP164" s="21" t="str">
        <f>IFERROR(VLOOKUP(July[[#This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21" t="str">
        <f>IFERROR(VLOOKUP(July[[#This Row],[Drug Name7]],'Data Options'!$R$1:$S$100,2,FALSE), " ")</f>
        <v xml:space="preserve"> </v>
      </c>
      <c r="AZ164" s="32"/>
      <c r="BA164" s="32"/>
      <c r="BB164" s="53"/>
      <c r="BC164" s="21" t="str">
        <f>IFERROR(VLOOKUP(July[[#This Row],[Drug Name8]],'Data Options'!$R$1:$S$100,2,FALSE), " ")</f>
        <v xml:space="preserve"> </v>
      </c>
      <c r="BD164" s="32"/>
      <c r="BE164" s="32"/>
      <c r="BF164" s="53"/>
      <c r="BG164" s="21" t="str">
        <f>IFERROR(VLOOKUP(July[[#This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21" t="str">
        <f>IFERROR(VLOOKUP(July[[#This Row],[Drug Name]],'Data Options'!$R$1:$S$100,2,FALSE), " ")</f>
        <v xml:space="preserve"> </v>
      </c>
      <c r="R165" s="32"/>
      <c r="S165" s="32"/>
      <c r="T165" s="53"/>
      <c r="U165" s="21" t="str">
        <f>IFERROR(VLOOKUP(July[[#This Row],[Drug Name2]],'Data Options'!$R$1:$S$100,2,FALSE), " ")</f>
        <v xml:space="preserve"> </v>
      </c>
      <c r="V165" s="32"/>
      <c r="W165" s="32"/>
      <c r="X165" s="53"/>
      <c r="Y165" s="21" t="str">
        <f>IFERROR(VLOOKUP(July[[#This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21" t="str">
        <f>IFERROR(VLOOKUP(July[[#This Row],[Drug Name4]],'Data Options'!$R$1:$S$100,2,FALSE), " ")</f>
        <v xml:space="preserve"> </v>
      </c>
      <c r="AI165" s="32"/>
      <c r="AJ165" s="32"/>
      <c r="AK165" s="53"/>
      <c r="AL165" s="21" t="str">
        <f>IFERROR(VLOOKUP(July[[#This Row],[Drug Name5]],'Data Options'!$R$1:$S$100,2,FALSE), " ")</f>
        <v xml:space="preserve"> </v>
      </c>
      <c r="AM165" s="32"/>
      <c r="AN165" s="32"/>
      <c r="AO165" s="53"/>
      <c r="AP165" s="21" t="str">
        <f>IFERROR(VLOOKUP(July[[#This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21" t="str">
        <f>IFERROR(VLOOKUP(July[[#This Row],[Drug Name7]],'Data Options'!$R$1:$S$100,2,FALSE), " ")</f>
        <v xml:space="preserve"> </v>
      </c>
      <c r="AZ165" s="32"/>
      <c r="BA165" s="32"/>
      <c r="BB165" s="53"/>
      <c r="BC165" s="21" t="str">
        <f>IFERROR(VLOOKUP(July[[#This Row],[Drug Name8]],'Data Options'!$R$1:$S$100,2,FALSE), " ")</f>
        <v xml:space="preserve"> </v>
      </c>
      <c r="BD165" s="32"/>
      <c r="BE165" s="32"/>
      <c r="BF165" s="53"/>
      <c r="BG165" s="21" t="str">
        <f>IFERROR(VLOOKUP(July[[#This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21" t="str">
        <f>IFERROR(VLOOKUP(July[[#This Row],[Drug Name]],'Data Options'!$R$1:$S$100,2,FALSE), " ")</f>
        <v xml:space="preserve"> </v>
      </c>
      <c r="R166" s="32"/>
      <c r="S166" s="32"/>
      <c r="T166" s="53"/>
      <c r="U166" s="21" t="str">
        <f>IFERROR(VLOOKUP(July[[#This Row],[Drug Name2]],'Data Options'!$R$1:$S$100,2,FALSE), " ")</f>
        <v xml:space="preserve"> </v>
      </c>
      <c r="V166" s="32"/>
      <c r="W166" s="32"/>
      <c r="X166" s="53"/>
      <c r="Y166" s="21" t="str">
        <f>IFERROR(VLOOKUP(July[[#This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21" t="str">
        <f>IFERROR(VLOOKUP(July[[#This Row],[Drug Name4]],'Data Options'!$R$1:$S$100,2,FALSE), " ")</f>
        <v xml:space="preserve"> </v>
      </c>
      <c r="AI166" s="32"/>
      <c r="AJ166" s="32"/>
      <c r="AK166" s="53"/>
      <c r="AL166" s="21" t="str">
        <f>IFERROR(VLOOKUP(July[[#This Row],[Drug Name5]],'Data Options'!$R$1:$S$100,2,FALSE), " ")</f>
        <v xml:space="preserve"> </v>
      </c>
      <c r="AM166" s="32"/>
      <c r="AN166" s="32"/>
      <c r="AO166" s="53"/>
      <c r="AP166" s="21" t="str">
        <f>IFERROR(VLOOKUP(July[[#This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21" t="str">
        <f>IFERROR(VLOOKUP(July[[#This Row],[Drug Name7]],'Data Options'!$R$1:$S$100,2,FALSE), " ")</f>
        <v xml:space="preserve"> </v>
      </c>
      <c r="AZ166" s="32"/>
      <c r="BA166" s="32"/>
      <c r="BB166" s="53"/>
      <c r="BC166" s="21" t="str">
        <f>IFERROR(VLOOKUP(July[[#This Row],[Drug Name8]],'Data Options'!$R$1:$S$100,2,FALSE), " ")</f>
        <v xml:space="preserve"> </v>
      </c>
      <c r="BD166" s="32"/>
      <c r="BE166" s="32"/>
      <c r="BF166" s="53"/>
      <c r="BG166" s="21" t="str">
        <f>IFERROR(VLOOKUP(July[[#This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21" t="str">
        <f>IFERROR(VLOOKUP(July[[#This Row],[Drug Name]],'Data Options'!$R$1:$S$100,2,FALSE), " ")</f>
        <v xml:space="preserve"> </v>
      </c>
      <c r="R167" s="32"/>
      <c r="S167" s="32"/>
      <c r="T167" s="53"/>
      <c r="U167" s="21" t="str">
        <f>IFERROR(VLOOKUP(July[[#This Row],[Drug Name2]],'Data Options'!$R$1:$S$100,2,FALSE), " ")</f>
        <v xml:space="preserve"> </v>
      </c>
      <c r="V167" s="32"/>
      <c r="W167" s="32"/>
      <c r="X167" s="53"/>
      <c r="Y167" s="21" t="str">
        <f>IFERROR(VLOOKUP(July[[#This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21" t="str">
        <f>IFERROR(VLOOKUP(July[[#This Row],[Drug Name4]],'Data Options'!$R$1:$S$100,2,FALSE), " ")</f>
        <v xml:space="preserve"> </v>
      </c>
      <c r="AI167" s="32"/>
      <c r="AJ167" s="32"/>
      <c r="AK167" s="53"/>
      <c r="AL167" s="21" t="str">
        <f>IFERROR(VLOOKUP(July[[#This Row],[Drug Name5]],'Data Options'!$R$1:$S$100,2,FALSE), " ")</f>
        <v xml:space="preserve"> </v>
      </c>
      <c r="AM167" s="32"/>
      <c r="AN167" s="32"/>
      <c r="AO167" s="53"/>
      <c r="AP167" s="21" t="str">
        <f>IFERROR(VLOOKUP(July[[#This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21" t="str">
        <f>IFERROR(VLOOKUP(July[[#This Row],[Drug Name7]],'Data Options'!$R$1:$S$100,2,FALSE), " ")</f>
        <v xml:space="preserve"> </v>
      </c>
      <c r="AZ167" s="32"/>
      <c r="BA167" s="32"/>
      <c r="BB167" s="53"/>
      <c r="BC167" s="21" t="str">
        <f>IFERROR(VLOOKUP(July[[#This Row],[Drug Name8]],'Data Options'!$R$1:$S$100,2,FALSE), " ")</f>
        <v xml:space="preserve"> </v>
      </c>
      <c r="BD167" s="32"/>
      <c r="BE167" s="32"/>
      <c r="BF167" s="53"/>
      <c r="BG167" s="21" t="str">
        <f>IFERROR(VLOOKUP(July[[#This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21" t="str">
        <f>IFERROR(VLOOKUP(July[[#This Row],[Drug Name]],'Data Options'!$R$1:$S$100,2,FALSE), " ")</f>
        <v xml:space="preserve"> </v>
      </c>
      <c r="R168" s="32"/>
      <c r="S168" s="32"/>
      <c r="T168" s="53"/>
      <c r="U168" s="21" t="str">
        <f>IFERROR(VLOOKUP(July[[#This Row],[Drug Name2]],'Data Options'!$R$1:$S$100,2,FALSE), " ")</f>
        <v xml:space="preserve"> </v>
      </c>
      <c r="V168" s="32"/>
      <c r="W168" s="32"/>
      <c r="X168" s="53"/>
      <c r="Y168" s="21" t="str">
        <f>IFERROR(VLOOKUP(July[[#This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21" t="str">
        <f>IFERROR(VLOOKUP(July[[#This Row],[Drug Name4]],'Data Options'!$R$1:$S$100,2,FALSE), " ")</f>
        <v xml:space="preserve"> </v>
      </c>
      <c r="AI168" s="32"/>
      <c r="AJ168" s="32"/>
      <c r="AK168" s="53"/>
      <c r="AL168" s="21" t="str">
        <f>IFERROR(VLOOKUP(July[[#This Row],[Drug Name5]],'Data Options'!$R$1:$S$100,2,FALSE), " ")</f>
        <v xml:space="preserve"> </v>
      </c>
      <c r="AM168" s="32"/>
      <c r="AN168" s="32"/>
      <c r="AO168" s="53"/>
      <c r="AP168" s="21" t="str">
        <f>IFERROR(VLOOKUP(July[[#This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21" t="str">
        <f>IFERROR(VLOOKUP(July[[#This Row],[Drug Name7]],'Data Options'!$R$1:$S$100,2,FALSE), " ")</f>
        <v xml:space="preserve"> </v>
      </c>
      <c r="AZ168" s="32"/>
      <c r="BA168" s="32"/>
      <c r="BB168" s="53"/>
      <c r="BC168" s="21" t="str">
        <f>IFERROR(VLOOKUP(July[[#This Row],[Drug Name8]],'Data Options'!$R$1:$S$100,2,FALSE), " ")</f>
        <v xml:space="preserve"> </v>
      </c>
      <c r="BD168" s="32"/>
      <c r="BE168" s="32"/>
      <c r="BF168" s="53"/>
      <c r="BG168" s="21" t="str">
        <f>IFERROR(VLOOKUP(July[[#This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21" t="str">
        <f>IFERROR(VLOOKUP(July[[#This Row],[Drug Name]],'Data Options'!$R$1:$S$100,2,FALSE), " ")</f>
        <v xml:space="preserve"> </v>
      </c>
      <c r="R169" s="32"/>
      <c r="S169" s="32"/>
      <c r="T169" s="53"/>
      <c r="U169" s="21" t="str">
        <f>IFERROR(VLOOKUP(July[[#This Row],[Drug Name2]],'Data Options'!$R$1:$S$100,2,FALSE), " ")</f>
        <v xml:space="preserve"> </v>
      </c>
      <c r="V169" s="32"/>
      <c r="W169" s="32"/>
      <c r="X169" s="53"/>
      <c r="Y169" s="21" t="str">
        <f>IFERROR(VLOOKUP(July[[#This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21" t="str">
        <f>IFERROR(VLOOKUP(July[[#This Row],[Drug Name4]],'Data Options'!$R$1:$S$100,2,FALSE), " ")</f>
        <v xml:space="preserve"> </v>
      </c>
      <c r="AI169" s="32"/>
      <c r="AJ169" s="32"/>
      <c r="AK169" s="53"/>
      <c r="AL169" s="21" t="str">
        <f>IFERROR(VLOOKUP(July[[#This Row],[Drug Name5]],'Data Options'!$R$1:$S$100,2,FALSE), " ")</f>
        <v xml:space="preserve"> </v>
      </c>
      <c r="AM169" s="32"/>
      <c r="AN169" s="32"/>
      <c r="AO169" s="53"/>
      <c r="AP169" s="21" t="str">
        <f>IFERROR(VLOOKUP(July[[#This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21" t="str">
        <f>IFERROR(VLOOKUP(July[[#This Row],[Drug Name7]],'Data Options'!$R$1:$S$100,2,FALSE), " ")</f>
        <v xml:space="preserve"> </v>
      </c>
      <c r="AZ169" s="32"/>
      <c r="BA169" s="32"/>
      <c r="BB169" s="53"/>
      <c r="BC169" s="21" t="str">
        <f>IFERROR(VLOOKUP(July[[#This Row],[Drug Name8]],'Data Options'!$R$1:$S$100,2,FALSE), " ")</f>
        <v xml:space="preserve"> </v>
      </c>
      <c r="BD169" s="32"/>
      <c r="BE169" s="32"/>
      <c r="BF169" s="53"/>
      <c r="BG169" s="21" t="str">
        <f>IFERROR(VLOOKUP(July[[#This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21" t="str">
        <f>IFERROR(VLOOKUP(July[[#This Row],[Drug Name]],'Data Options'!$R$1:$S$100,2,FALSE), " ")</f>
        <v xml:space="preserve"> </v>
      </c>
      <c r="R170" s="32"/>
      <c r="S170" s="32"/>
      <c r="T170" s="53"/>
      <c r="U170" s="21" t="str">
        <f>IFERROR(VLOOKUP(July[[#This Row],[Drug Name2]],'Data Options'!$R$1:$S$100,2,FALSE), " ")</f>
        <v xml:space="preserve"> </v>
      </c>
      <c r="V170" s="32"/>
      <c r="W170" s="32"/>
      <c r="X170" s="53"/>
      <c r="Y170" s="21" t="str">
        <f>IFERROR(VLOOKUP(July[[#This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21" t="str">
        <f>IFERROR(VLOOKUP(July[[#This Row],[Drug Name4]],'Data Options'!$R$1:$S$100,2,FALSE), " ")</f>
        <v xml:space="preserve"> </v>
      </c>
      <c r="AI170" s="32"/>
      <c r="AJ170" s="32"/>
      <c r="AK170" s="53"/>
      <c r="AL170" s="21" t="str">
        <f>IFERROR(VLOOKUP(July[[#This Row],[Drug Name5]],'Data Options'!$R$1:$S$100,2,FALSE), " ")</f>
        <v xml:space="preserve"> </v>
      </c>
      <c r="AM170" s="32"/>
      <c r="AN170" s="32"/>
      <c r="AO170" s="53"/>
      <c r="AP170" s="21" t="str">
        <f>IFERROR(VLOOKUP(July[[#This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21" t="str">
        <f>IFERROR(VLOOKUP(July[[#This Row],[Drug Name7]],'Data Options'!$R$1:$S$100,2,FALSE), " ")</f>
        <v xml:space="preserve"> </v>
      </c>
      <c r="AZ170" s="32"/>
      <c r="BA170" s="32"/>
      <c r="BB170" s="53"/>
      <c r="BC170" s="21" t="str">
        <f>IFERROR(VLOOKUP(July[[#This Row],[Drug Name8]],'Data Options'!$R$1:$S$100,2,FALSE), " ")</f>
        <v xml:space="preserve"> </v>
      </c>
      <c r="BD170" s="32"/>
      <c r="BE170" s="32"/>
      <c r="BF170" s="53"/>
      <c r="BG170" s="21" t="str">
        <f>IFERROR(VLOOKUP(July[[#This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21" t="str">
        <f>IFERROR(VLOOKUP(July[[#This Row],[Drug Name]],'Data Options'!$R$1:$S$100,2,FALSE), " ")</f>
        <v xml:space="preserve"> </v>
      </c>
      <c r="R171" s="32"/>
      <c r="S171" s="32"/>
      <c r="T171" s="53"/>
      <c r="U171" s="21" t="str">
        <f>IFERROR(VLOOKUP(July[[#This Row],[Drug Name2]],'Data Options'!$R$1:$S$100,2,FALSE), " ")</f>
        <v xml:space="preserve"> </v>
      </c>
      <c r="V171" s="32"/>
      <c r="W171" s="32"/>
      <c r="X171" s="53"/>
      <c r="Y171" s="21" t="str">
        <f>IFERROR(VLOOKUP(July[[#This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21" t="str">
        <f>IFERROR(VLOOKUP(July[[#This Row],[Drug Name4]],'Data Options'!$R$1:$S$100,2,FALSE), " ")</f>
        <v xml:space="preserve"> </v>
      </c>
      <c r="AI171" s="32"/>
      <c r="AJ171" s="32"/>
      <c r="AK171" s="53"/>
      <c r="AL171" s="21" t="str">
        <f>IFERROR(VLOOKUP(July[[#This Row],[Drug Name5]],'Data Options'!$R$1:$S$100,2,FALSE), " ")</f>
        <v xml:space="preserve"> </v>
      </c>
      <c r="AM171" s="32"/>
      <c r="AN171" s="32"/>
      <c r="AO171" s="53"/>
      <c r="AP171" s="21" t="str">
        <f>IFERROR(VLOOKUP(July[[#This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21" t="str">
        <f>IFERROR(VLOOKUP(July[[#This Row],[Drug Name7]],'Data Options'!$R$1:$S$100,2,FALSE), " ")</f>
        <v xml:space="preserve"> </v>
      </c>
      <c r="AZ171" s="32"/>
      <c r="BA171" s="32"/>
      <c r="BB171" s="53"/>
      <c r="BC171" s="21" t="str">
        <f>IFERROR(VLOOKUP(July[[#This Row],[Drug Name8]],'Data Options'!$R$1:$S$100,2,FALSE), " ")</f>
        <v xml:space="preserve"> </v>
      </c>
      <c r="BD171" s="32"/>
      <c r="BE171" s="32"/>
      <c r="BF171" s="53"/>
      <c r="BG171" s="21" t="str">
        <f>IFERROR(VLOOKUP(July[[#This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21" t="str">
        <f>IFERROR(VLOOKUP(July[[#This Row],[Drug Name]],'Data Options'!$R$1:$S$100,2,FALSE), " ")</f>
        <v xml:space="preserve"> </v>
      </c>
      <c r="R172" s="32"/>
      <c r="S172" s="32"/>
      <c r="T172" s="53"/>
      <c r="U172" s="21" t="str">
        <f>IFERROR(VLOOKUP(July[[#This Row],[Drug Name2]],'Data Options'!$R$1:$S$100,2,FALSE), " ")</f>
        <v xml:space="preserve"> </v>
      </c>
      <c r="V172" s="32"/>
      <c r="W172" s="32"/>
      <c r="X172" s="53"/>
      <c r="Y172" s="21" t="str">
        <f>IFERROR(VLOOKUP(July[[#This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21" t="str">
        <f>IFERROR(VLOOKUP(July[[#This Row],[Drug Name4]],'Data Options'!$R$1:$S$100,2,FALSE), " ")</f>
        <v xml:space="preserve"> </v>
      </c>
      <c r="AI172" s="32"/>
      <c r="AJ172" s="32"/>
      <c r="AK172" s="53"/>
      <c r="AL172" s="21" t="str">
        <f>IFERROR(VLOOKUP(July[[#This Row],[Drug Name5]],'Data Options'!$R$1:$S$100,2,FALSE), " ")</f>
        <v xml:space="preserve"> </v>
      </c>
      <c r="AM172" s="32"/>
      <c r="AN172" s="32"/>
      <c r="AO172" s="53"/>
      <c r="AP172" s="21" t="str">
        <f>IFERROR(VLOOKUP(July[[#This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21" t="str">
        <f>IFERROR(VLOOKUP(July[[#This Row],[Drug Name7]],'Data Options'!$R$1:$S$100,2,FALSE), " ")</f>
        <v xml:space="preserve"> </v>
      </c>
      <c r="AZ172" s="32"/>
      <c r="BA172" s="32"/>
      <c r="BB172" s="53"/>
      <c r="BC172" s="21" t="str">
        <f>IFERROR(VLOOKUP(July[[#This Row],[Drug Name8]],'Data Options'!$R$1:$S$100,2,FALSE), " ")</f>
        <v xml:space="preserve"> </v>
      </c>
      <c r="BD172" s="32"/>
      <c r="BE172" s="32"/>
      <c r="BF172" s="53"/>
      <c r="BG172" s="21" t="str">
        <f>IFERROR(VLOOKUP(July[[#This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21" t="str">
        <f>IFERROR(VLOOKUP(July[[#This Row],[Drug Name]],'Data Options'!$R$1:$S$100,2,FALSE), " ")</f>
        <v xml:space="preserve"> </v>
      </c>
      <c r="R173" s="32"/>
      <c r="S173" s="32"/>
      <c r="T173" s="53"/>
      <c r="U173" s="21" t="str">
        <f>IFERROR(VLOOKUP(July[[#This Row],[Drug Name2]],'Data Options'!$R$1:$S$100,2,FALSE), " ")</f>
        <v xml:space="preserve"> </v>
      </c>
      <c r="V173" s="32"/>
      <c r="W173" s="32"/>
      <c r="X173" s="53"/>
      <c r="Y173" s="21" t="str">
        <f>IFERROR(VLOOKUP(July[[#This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21" t="str">
        <f>IFERROR(VLOOKUP(July[[#This Row],[Drug Name4]],'Data Options'!$R$1:$S$100,2,FALSE), " ")</f>
        <v xml:space="preserve"> </v>
      </c>
      <c r="AI173" s="32"/>
      <c r="AJ173" s="32"/>
      <c r="AK173" s="53"/>
      <c r="AL173" s="21" t="str">
        <f>IFERROR(VLOOKUP(July[[#This Row],[Drug Name5]],'Data Options'!$R$1:$S$100,2,FALSE), " ")</f>
        <v xml:space="preserve"> </v>
      </c>
      <c r="AM173" s="32"/>
      <c r="AN173" s="32"/>
      <c r="AO173" s="53"/>
      <c r="AP173" s="21" t="str">
        <f>IFERROR(VLOOKUP(July[[#This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21" t="str">
        <f>IFERROR(VLOOKUP(July[[#This Row],[Drug Name7]],'Data Options'!$R$1:$S$100,2,FALSE), " ")</f>
        <v xml:space="preserve"> </v>
      </c>
      <c r="AZ173" s="32"/>
      <c r="BA173" s="32"/>
      <c r="BB173" s="53"/>
      <c r="BC173" s="21" t="str">
        <f>IFERROR(VLOOKUP(July[[#This Row],[Drug Name8]],'Data Options'!$R$1:$S$100,2,FALSE), " ")</f>
        <v xml:space="preserve"> </v>
      </c>
      <c r="BD173" s="32"/>
      <c r="BE173" s="32"/>
      <c r="BF173" s="53"/>
      <c r="BG173" s="21" t="str">
        <f>IFERROR(VLOOKUP(July[[#This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21" t="str">
        <f>IFERROR(VLOOKUP(July[[#This Row],[Drug Name]],'Data Options'!$R$1:$S$100,2,FALSE), " ")</f>
        <v xml:space="preserve"> </v>
      </c>
      <c r="R174" s="32"/>
      <c r="S174" s="32"/>
      <c r="T174" s="53"/>
      <c r="U174" s="21" t="str">
        <f>IFERROR(VLOOKUP(July[[#This Row],[Drug Name2]],'Data Options'!$R$1:$S$100,2,FALSE), " ")</f>
        <v xml:space="preserve"> </v>
      </c>
      <c r="V174" s="32"/>
      <c r="W174" s="32"/>
      <c r="X174" s="53"/>
      <c r="Y174" s="21" t="str">
        <f>IFERROR(VLOOKUP(July[[#This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21" t="str">
        <f>IFERROR(VLOOKUP(July[[#This Row],[Drug Name4]],'Data Options'!$R$1:$S$100,2,FALSE), " ")</f>
        <v xml:space="preserve"> </v>
      </c>
      <c r="AI174" s="32"/>
      <c r="AJ174" s="32"/>
      <c r="AK174" s="53"/>
      <c r="AL174" s="21" t="str">
        <f>IFERROR(VLOOKUP(July[[#This Row],[Drug Name5]],'Data Options'!$R$1:$S$100,2,FALSE), " ")</f>
        <v xml:space="preserve"> </v>
      </c>
      <c r="AM174" s="32"/>
      <c r="AN174" s="32"/>
      <c r="AO174" s="53"/>
      <c r="AP174" s="21" t="str">
        <f>IFERROR(VLOOKUP(July[[#This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21" t="str">
        <f>IFERROR(VLOOKUP(July[[#This Row],[Drug Name7]],'Data Options'!$R$1:$S$100,2,FALSE), " ")</f>
        <v xml:space="preserve"> </v>
      </c>
      <c r="AZ174" s="32"/>
      <c r="BA174" s="32"/>
      <c r="BB174" s="53"/>
      <c r="BC174" s="21" t="str">
        <f>IFERROR(VLOOKUP(July[[#This Row],[Drug Name8]],'Data Options'!$R$1:$S$100,2,FALSE), " ")</f>
        <v xml:space="preserve"> </v>
      </c>
      <c r="BD174" s="32"/>
      <c r="BE174" s="32"/>
      <c r="BF174" s="53"/>
      <c r="BG174" s="21" t="str">
        <f>IFERROR(VLOOKUP(July[[#This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21" t="str">
        <f>IFERROR(VLOOKUP(July[[#This Row],[Drug Name]],'Data Options'!$R$1:$S$100,2,FALSE), " ")</f>
        <v xml:space="preserve"> </v>
      </c>
      <c r="R175" s="32"/>
      <c r="S175" s="32"/>
      <c r="T175" s="53"/>
      <c r="U175" s="21" t="str">
        <f>IFERROR(VLOOKUP(July[[#This Row],[Drug Name2]],'Data Options'!$R$1:$S$100,2,FALSE), " ")</f>
        <v xml:space="preserve"> </v>
      </c>
      <c r="V175" s="32"/>
      <c r="W175" s="32"/>
      <c r="X175" s="53"/>
      <c r="Y175" s="21" t="str">
        <f>IFERROR(VLOOKUP(July[[#This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21" t="str">
        <f>IFERROR(VLOOKUP(July[[#This Row],[Drug Name4]],'Data Options'!$R$1:$S$100,2,FALSE), " ")</f>
        <v xml:space="preserve"> </v>
      </c>
      <c r="AI175" s="32"/>
      <c r="AJ175" s="32"/>
      <c r="AK175" s="53"/>
      <c r="AL175" s="21" t="str">
        <f>IFERROR(VLOOKUP(July[[#This Row],[Drug Name5]],'Data Options'!$R$1:$S$100,2,FALSE), " ")</f>
        <v xml:space="preserve"> </v>
      </c>
      <c r="AM175" s="32"/>
      <c r="AN175" s="32"/>
      <c r="AO175" s="53"/>
      <c r="AP175" s="21" t="str">
        <f>IFERROR(VLOOKUP(July[[#This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21" t="str">
        <f>IFERROR(VLOOKUP(July[[#This Row],[Drug Name7]],'Data Options'!$R$1:$S$100,2,FALSE), " ")</f>
        <v xml:space="preserve"> </v>
      </c>
      <c r="AZ175" s="32"/>
      <c r="BA175" s="32"/>
      <c r="BB175" s="53"/>
      <c r="BC175" s="21" t="str">
        <f>IFERROR(VLOOKUP(July[[#This Row],[Drug Name8]],'Data Options'!$R$1:$S$100,2,FALSE), " ")</f>
        <v xml:space="preserve"> </v>
      </c>
      <c r="BD175" s="32"/>
      <c r="BE175" s="32"/>
      <c r="BF175" s="53"/>
      <c r="BG175" s="21" t="str">
        <f>IFERROR(VLOOKUP(July[[#This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21" t="str">
        <f>IFERROR(VLOOKUP(July[[#This Row],[Drug Name]],'Data Options'!$R$1:$S$100,2,FALSE), " ")</f>
        <v xml:space="preserve"> </v>
      </c>
      <c r="R176" s="32"/>
      <c r="S176" s="32"/>
      <c r="T176" s="53"/>
      <c r="U176" s="21" t="str">
        <f>IFERROR(VLOOKUP(July[[#This Row],[Drug Name2]],'Data Options'!$R$1:$S$100,2,FALSE), " ")</f>
        <v xml:space="preserve"> </v>
      </c>
      <c r="V176" s="32"/>
      <c r="W176" s="32"/>
      <c r="X176" s="53"/>
      <c r="Y176" s="21" t="str">
        <f>IFERROR(VLOOKUP(July[[#This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21" t="str">
        <f>IFERROR(VLOOKUP(July[[#This Row],[Drug Name4]],'Data Options'!$R$1:$S$100,2,FALSE), " ")</f>
        <v xml:space="preserve"> </v>
      </c>
      <c r="AI176" s="32"/>
      <c r="AJ176" s="32"/>
      <c r="AK176" s="53"/>
      <c r="AL176" s="21" t="str">
        <f>IFERROR(VLOOKUP(July[[#This Row],[Drug Name5]],'Data Options'!$R$1:$S$100,2,FALSE), " ")</f>
        <v xml:space="preserve"> </v>
      </c>
      <c r="AM176" s="32"/>
      <c r="AN176" s="32"/>
      <c r="AO176" s="53"/>
      <c r="AP176" s="21" t="str">
        <f>IFERROR(VLOOKUP(July[[#This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21" t="str">
        <f>IFERROR(VLOOKUP(July[[#This Row],[Drug Name7]],'Data Options'!$R$1:$S$100,2,FALSE), " ")</f>
        <v xml:space="preserve"> </v>
      </c>
      <c r="AZ176" s="32"/>
      <c r="BA176" s="32"/>
      <c r="BB176" s="53"/>
      <c r="BC176" s="21" t="str">
        <f>IFERROR(VLOOKUP(July[[#This Row],[Drug Name8]],'Data Options'!$R$1:$S$100,2,FALSE), " ")</f>
        <v xml:space="preserve"> </v>
      </c>
      <c r="BD176" s="32"/>
      <c r="BE176" s="32"/>
      <c r="BF176" s="53"/>
      <c r="BG176" s="21" t="str">
        <f>IFERROR(VLOOKUP(July[[#This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21" t="str">
        <f>IFERROR(VLOOKUP(July[[#This Row],[Drug Name]],'Data Options'!$R$1:$S$100,2,FALSE), " ")</f>
        <v xml:space="preserve"> </v>
      </c>
      <c r="R177" s="32"/>
      <c r="S177" s="32"/>
      <c r="T177" s="53"/>
      <c r="U177" s="21" t="str">
        <f>IFERROR(VLOOKUP(July[[#This Row],[Drug Name2]],'Data Options'!$R$1:$S$100,2,FALSE), " ")</f>
        <v xml:space="preserve"> </v>
      </c>
      <c r="V177" s="32"/>
      <c r="W177" s="32"/>
      <c r="X177" s="53"/>
      <c r="Y177" s="21" t="str">
        <f>IFERROR(VLOOKUP(July[[#This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21" t="str">
        <f>IFERROR(VLOOKUP(July[[#This Row],[Drug Name4]],'Data Options'!$R$1:$S$100,2,FALSE), " ")</f>
        <v xml:space="preserve"> </v>
      </c>
      <c r="AI177" s="32"/>
      <c r="AJ177" s="32"/>
      <c r="AK177" s="53"/>
      <c r="AL177" s="21" t="str">
        <f>IFERROR(VLOOKUP(July[[#This Row],[Drug Name5]],'Data Options'!$R$1:$S$100,2,FALSE), " ")</f>
        <v xml:space="preserve"> </v>
      </c>
      <c r="AM177" s="32"/>
      <c r="AN177" s="32"/>
      <c r="AO177" s="53"/>
      <c r="AP177" s="21" t="str">
        <f>IFERROR(VLOOKUP(July[[#This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21" t="str">
        <f>IFERROR(VLOOKUP(July[[#This Row],[Drug Name7]],'Data Options'!$R$1:$S$100,2,FALSE), " ")</f>
        <v xml:space="preserve"> </v>
      </c>
      <c r="AZ177" s="32"/>
      <c r="BA177" s="32"/>
      <c r="BB177" s="53"/>
      <c r="BC177" s="21" t="str">
        <f>IFERROR(VLOOKUP(July[[#This Row],[Drug Name8]],'Data Options'!$R$1:$S$100,2,FALSE), " ")</f>
        <v xml:space="preserve"> </v>
      </c>
      <c r="BD177" s="32"/>
      <c r="BE177" s="32"/>
      <c r="BF177" s="53"/>
      <c r="BG177" s="21" t="str">
        <f>IFERROR(VLOOKUP(July[[#This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21" t="str">
        <f>IFERROR(VLOOKUP(July[[#This Row],[Drug Name]],'Data Options'!$R$1:$S$100,2,FALSE), " ")</f>
        <v xml:space="preserve"> </v>
      </c>
      <c r="R178" s="32"/>
      <c r="S178" s="32"/>
      <c r="T178" s="53"/>
      <c r="U178" s="21" t="str">
        <f>IFERROR(VLOOKUP(July[[#This Row],[Drug Name2]],'Data Options'!$R$1:$S$100,2,FALSE), " ")</f>
        <v xml:space="preserve"> </v>
      </c>
      <c r="V178" s="32"/>
      <c r="W178" s="32"/>
      <c r="X178" s="53"/>
      <c r="Y178" s="21" t="str">
        <f>IFERROR(VLOOKUP(July[[#This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21" t="str">
        <f>IFERROR(VLOOKUP(July[[#This Row],[Drug Name4]],'Data Options'!$R$1:$S$100,2,FALSE), " ")</f>
        <v xml:space="preserve"> </v>
      </c>
      <c r="AI178" s="32"/>
      <c r="AJ178" s="32"/>
      <c r="AK178" s="53"/>
      <c r="AL178" s="21" t="str">
        <f>IFERROR(VLOOKUP(July[[#This Row],[Drug Name5]],'Data Options'!$R$1:$S$100,2,FALSE), " ")</f>
        <v xml:space="preserve"> </v>
      </c>
      <c r="AM178" s="32"/>
      <c r="AN178" s="32"/>
      <c r="AO178" s="53"/>
      <c r="AP178" s="21" t="str">
        <f>IFERROR(VLOOKUP(July[[#This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21" t="str">
        <f>IFERROR(VLOOKUP(July[[#This Row],[Drug Name7]],'Data Options'!$R$1:$S$100,2,FALSE), " ")</f>
        <v xml:space="preserve"> </v>
      </c>
      <c r="AZ178" s="32"/>
      <c r="BA178" s="32"/>
      <c r="BB178" s="53"/>
      <c r="BC178" s="21" t="str">
        <f>IFERROR(VLOOKUP(July[[#This Row],[Drug Name8]],'Data Options'!$R$1:$S$100,2,FALSE), " ")</f>
        <v xml:space="preserve"> </v>
      </c>
      <c r="BD178" s="32"/>
      <c r="BE178" s="32"/>
      <c r="BF178" s="53"/>
      <c r="BG178" s="21" t="str">
        <f>IFERROR(VLOOKUP(July[[#This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21" t="str">
        <f>IFERROR(VLOOKUP(July[[#This Row],[Drug Name]],'Data Options'!$R$1:$S$100,2,FALSE), " ")</f>
        <v xml:space="preserve"> </v>
      </c>
      <c r="R179" s="32"/>
      <c r="S179" s="32"/>
      <c r="T179" s="53"/>
      <c r="U179" s="21" t="str">
        <f>IFERROR(VLOOKUP(July[[#This Row],[Drug Name2]],'Data Options'!$R$1:$S$100,2,FALSE), " ")</f>
        <v xml:space="preserve"> </v>
      </c>
      <c r="V179" s="32"/>
      <c r="W179" s="32"/>
      <c r="X179" s="53"/>
      <c r="Y179" s="21" t="str">
        <f>IFERROR(VLOOKUP(July[[#This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21" t="str">
        <f>IFERROR(VLOOKUP(July[[#This Row],[Drug Name4]],'Data Options'!$R$1:$S$100,2,FALSE), " ")</f>
        <v xml:space="preserve"> </v>
      </c>
      <c r="AI179" s="32"/>
      <c r="AJ179" s="32"/>
      <c r="AK179" s="53"/>
      <c r="AL179" s="21" t="str">
        <f>IFERROR(VLOOKUP(July[[#This Row],[Drug Name5]],'Data Options'!$R$1:$S$100,2,FALSE), " ")</f>
        <v xml:space="preserve"> </v>
      </c>
      <c r="AM179" s="32"/>
      <c r="AN179" s="32"/>
      <c r="AO179" s="53"/>
      <c r="AP179" s="21" t="str">
        <f>IFERROR(VLOOKUP(July[[#This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21" t="str">
        <f>IFERROR(VLOOKUP(July[[#This Row],[Drug Name7]],'Data Options'!$R$1:$S$100,2,FALSE), " ")</f>
        <v xml:space="preserve"> </v>
      </c>
      <c r="AZ179" s="32"/>
      <c r="BA179" s="32"/>
      <c r="BB179" s="53"/>
      <c r="BC179" s="21" t="str">
        <f>IFERROR(VLOOKUP(July[[#This Row],[Drug Name8]],'Data Options'!$R$1:$S$100,2,FALSE), " ")</f>
        <v xml:space="preserve"> </v>
      </c>
      <c r="BD179" s="32"/>
      <c r="BE179" s="32"/>
      <c r="BF179" s="53"/>
      <c r="BG179" s="21" t="str">
        <f>IFERROR(VLOOKUP(July[[#This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21" t="str">
        <f>IFERROR(VLOOKUP(July[[#This Row],[Drug Name]],'Data Options'!$R$1:$S$100,2,FALSE), " ")</f>
        <v xml:space="preserve"> </v>
      </c>
      <c r="R180" s="32"/>
      <c r="S180" s="32"/>
      <c r="T180" s="53"/>
      <c r="U180" s="21" t="str">
        <f>IFERROR(VLOOKUP(July[[#This Row],[Drug Name2]],'Data Options'!$R$1:$S$100,2,FALSE), " ")</f>
        <v xml:space="preserve"> </v>
      </c>
      <c r="V180" s="32"/>
      <c r="W180" s="32"/>
      <c r="X180" s="53"/>
      <c r="Y180" s="21" t="str">
        <f>IFERROR(VLOOKUP(July[[#This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21" t="str">
        <f>IFERROR(VLOOKUP(July[[#This Row],[Drug Name4]],'Data Options'!$R$1:$S$100,2,FALSE), " ")</f>
        <v xml:space="preserve"> </v>
      </c>
      <c r="AI180" s="32"/>
      <c r="AJ180" s="32"/>
      <c r="AK180" s="53"/>
      <c r="AL180" s="21" t="str">
        <f>IFERROR(VLOOKUP(July[[#This Row],[Drug Name5]],'Data Options'!$R$1:$S$100,2,FALSE), " ")</f>
        <v xml:space="preserve"> </v>
      </c>
      <c r="AM180" s="32"/>
      <c r="AN180" s="32"/>
      <c r="AO180" s="53"/>
      <c r="AP180" s="21" t="str">
        <f>IFERROR(VLOOKUP(July[[#This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21" t="str">
        <f>IFERROR(VLOOKUP(July[[#This Row],[Drug Name7]],'Data Options'!$R$1:$S$100,2,FALSE), " ")</f>
        <v xml:space="preserve"> </v>
      </c>
      <c r="AZ180" s="32"/>
      <c r="BA180" s="32"/>
      <c r="BB180" s="53"/>
      <c r="BC180" s="21" t="str">
        <f>IFERROR(VLOOKUP(July[[#This Row],[Drug Name8]],'Data Options'!$R$1:$S$100,2,FALSE), " ")</f>
        <v xml:space="preserve"> </v>
      </c>
      <c r="BD180" s="32"/>
      <c r="BE180" s="32"/>
      <c r="BF180" s="53"/>
      <c r="BG180" s="21" t="str">
        <f>IFERROR(VLOOKUP(July[[#This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21" t="str">
        <f>IFERROR(VLOOKUP(July[[#This Row],[Drug Name]],'Data Options'!$R$1:$S$100,2,FALSE), " ")</f>
        <v xml:space="preserve"> </v>
      </c>
      <c r="R181" s="32"/>
      <c r="S181" s="32"/>
      <c r="T181" s="53"/>
      <c r="U181" s="21" t="str">
        <f>IFERROR(VLOOKUP(July[[#This Row],[Drug Name2]],'Data Options'!$R$1:$S$100,2,FALSE), " ")</f>
        <v xml:space="preserve"> </v>
      </c>
      <c r="V181" s="32"/>
      <c r="W181" s="32"/>
      <c r="X181" s="53"/>
      <c r="Y181" s="21" t="str">
        <f>IFERROR(VLOOKUP(July[[#This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21" t="str">
        <f>IFERROR(VLOOKUP(July[[#This Row],[Drug Name4]],'Data Options'!$R$1:$S$100,2,FALSE), " ")</f>
        <v xml:space="preserve"> </v>
      </c>
      <c r="AI181" s="32"/>
      <c r="AJ181" s="32"/>
      <c r="AK181" s="53"/>
      <c r="AL181" s="21" t="str">
        <f>IFERROR(VLOOKUP(July[[#This Row],[Drug Name5]],'Data Options'!$R$1:$S$100,2,FALSE), " ")</f>
        <v xml:space="preserve"> </v>
      </c>
      <c r="AM181" s="32"/>
      <c r="AN181" s="32"/>
      <c r="AO181" s="53"/>
      <c r="AP181" s="21" t="str">
        <f>IFERROR(VLOOKUP(July[[#This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21" t="str">
        <f>IFERROR(VLOOKUP(July[[#This Row],[Drug Name7]],'Data Options'!$R$1:$S$100,2,FALSE), " ")</f>
        <v xml:space="preserve"> </v>
      </c>
      <c r="AZ181" s="32"/>
      <c r="BA181" s="32"/>
      <c r="BB181" s="53"/>
      <c r="BC181" s="21" t="str">
        <f>IFERROR(VLOOKUP(July[[#This Row],[Drug Name8]],'Data Options'!$R$1:$S$100,2,FALSE), " ")</f>
        <v xml:space="preserve"> </v>
      </c>
      <c r="BD181" s="32"/>
      <c r="BE181" s="32"/>
      <c r="BF181" s="53"/>
      <c r="BG181" s="21" t="str">
        <f>IFERROR(VLOOKUP(July[[#This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21" t="str">
        <f>IFERROR(VLOOKUP(July[[#This Row],[Drug Name]],'Data Options'!$R$1:$S$100,2,FALSE), " ")</f>
        <v xml:space="preserve"> </v>
      </c>
      <c r="R182" s="32"/>
      <c r="S182" s="32"/>
      <c r="T182" s="53"/>
      <c r="U182" s="21" t="str">
        <f>IFERROR(VLOOKUP(July[[#This Row],[Drug Name2]],'Data Options'!$R$1:$S$100,2,FALSE), " ")</f>
        <v xml:space="preserve"> </v>
      </c>
      <c r="V182" s="32"/>
      <c r="W182" s="32"/>
      <c r="X182" s="53"/>
      <c r="Y182" s="21" t="str">
        <f>IFERROR(VLOOKUP(July[[#This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21" t="str">
        <f>IFERROR(VLOOKUP(July[[#This Row],[Drug Name4]],'Data Options'!$R$1:$S$100,2,FALSE), " ")</f>
        <v xml:space="preserve"> </v>
      </c>
      <c r="AI182" s="32"/>
      <c r="AJ182" s="32"/>
      <c r="AK182" s="53"/>
      <c r="AL182" s="21" t="str">
        <f>IFERROR(VLOOKUP(July[[#This Row],[Drug Name5]],'Data Options'!$R$1:$S$100,2,FALSE), " ")</f>
        <v xml:space="preserve"> </v>
      </c>
      <c r="AM182" s="32"/>
      <c r="AN182" s="32"/>
      <c r="AO182" s="53"/>
      <c r="AP182" s="21" t="str">
        <f>IFERROR(VLOOKUP(July[[#This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21" t="str">
        <f>IFERROR(VLOOKUP(July[[#This Row],[Drug Name7]],'Data Options'!$R$1:$S$100,2,FALSE), " ")</f>
        <v xml:space="preserve"> </v>
      </c>
      <c r="AZ182" s="32"/>
      <c r="BA182" s="32"/>
      <c r="BB182" s="53"/>
      <c r="BC182" s="21" t="str">
        <f>IFERROR(VLOOKUP(July[[#This Row],[Drug Name8]],'Data Options'!$R$1:$S$100,2,FALSE), " ")</f>
        <v xml:space="preserve"> </v>
      </c>
      <c r="BD182" s="32"/>
      <c r="BE182" s="32"/>
      <c r="BF182" s="53"/>
      <c r="BG182" s="21" t="str">
        <f>IFERROR(VLOOKUP(July[[#This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21" t="str">
        <f>IFERROR(VLOOKUP(July[[#This Row],[Drug Name]],'Data Options'!$R$1:$S$100,2,FALSE), " ")</f>
        <v xml:space="preserve"> </v>
      </c>
      <c r="R183" s="32"/>
      <c r="S183" s="32"/>
      <c r="T183" s="53"/>
      <c r="U183" s="21" t="str">
        <f>IFERROR(VLOOKUP(July[[#This Row],[Drug Name2]],'Data Options'!$R$1:$S$100,2,FALSE), " ")</f>
        <v xml:space="preserve"> </v>
      </c>
      <c r="V183" s="32"/>
      <c r="W183" s="32"/>
      <c r="X183" s="53"/>
      <c r="Y183" s="21" t="str">
        <f>IFERROR(VLOOKUP(July[[#This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21" t="str">
        <f>IFERROR(VLOOKUP(July[[#This Row],[Drug Name4]],'Data Options'!$R$1:$S$100,2,FALSE), " ")</f>
        <v xml:space="preserve"> </v>
      </c>
      <c r="AI183" s="32"/>
      <c r="AJ183" s="32"/>
      <c r="AK183" s="53"/>
      <c r="AL183" s="21" t="str">
        <f>IFERROR(VLOOKUP(July[[#This Row],[Drug Name5]],'Data Options'!$R$1:$S$100,2,FALSE), " ")</f>
        <v xml:space="preserve"> </v>
      </c>
      <c r="AM183" s="32"/>
      <c r="AN183" s="32"/>
      <c r="AO183" s="53"/>
      <c r="AP183" s="21" t="str">
        <f>IFERROR(VLOOKUP(July[[#This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21" t="str">
        <f>IFERROR(VLOOKUP(July[[#This Row],[Drug Name7]],'Data Options'!$R$1:$S$100,2,FALSE), " ")</f>
        <v xml:space="preserve"> </v>
      </c>
      <c r="AZ183" s="32"/>
      <c r="BA183" s="32"/>
      <c r="BB183" s="53"/>
      <c r="BC183" s="21" t="str">
        <f>IFERROR(VLOOKUP(July[[#This Row],[Drug Name8]],'Data Options'!$R$1:$S$100,2,FALSE), " ")</f>
        <v xml:space="preserve"> </v>
      </c>
      <c r="BD183" s="32"/>
      <c r="BE183" s="32"/>
      <c r="BF183" s="53"/>
      <c r="BG183" s="21" t="str">
        <f>IFERROR(VLOOKUP(July[[#This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21" t="str">
        <f>IFERROR(VLOOKUP(July[[#This Row],[Drug Name]],'Data Options'!$R$1:$S$100,2,FALSE), " ")</f>
        <v xml:space="preserve"> </v>
      </c>
      <c r="R184" s="32"/>
      <c r="S184" s="32"/>
      <c r="T184" s="53"/>
      <c r="U184" s="21" t="str">
        <f>IFERROR(VLOOKUP(July[[#This Row],[Drug Name2]],'Data Options'!$R$1:$S$100,2,FALSE), " ")</f>
        <v xml:space="preserve"> </v>
      </c>
      <c r="V184" s="32"/>
      <c r="W184" s="32"/>
      <c r="X184" s="53"/>
      <c r="Y184" s="21" t="str">
        <f>IFERROR(VLOOKUP(July[[#This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21" t="str">
        <f>IFERROR(VLOOKUP(July[[#This Row],[Drug Name4]],'Data Options'!$R$1:$S$100,2,FALSE), " ")</f>
        <v xml:space="preserve"> </v>
      </c>
      <c r="AI184" s="32"/>
      <c r="AJ184" s="32"/>
      <c r="AK184" s="53"/>
      <c r="AL184" s="21" t="str">
        <f>IFERROR(VLOOKUP(July[[#This Row],[Drug Name5]],'Data Options'!$R$1:$S$100,2,FALSE), " ")</f>
        <v xml:space="preserve"> </v>
      </c>
      <c r="AM184" s="32"/>
      <c r="AN184" s="32"/>
      <c r="AO184" s="53"/>
      <c r="AP184" s="21" t="str">
        <f>IFERROR(VLOOKUP(July[[#This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21" t="str">
        <f>IFERROR(VLOOKUP(July[[#This Row],[Drug Name7]],'Data Options'!$R$1:$S$100,2,FALSE), " ")</f>
        <v xml:space="preserve"> </v>
      </c>
      <c r="AZ184" s="32"/>
      <c r="BA184" s="32"/>
      <c r="BB184" s="53"/>
      <c r="BC184" s="21" t="str">
        <f>IFERROR(VLOOKUP(July[[#This Row],[Drug Name8]],'Data Options'!$R$1:$S$100,2,FALSE), " ")</f>
        <v xml:space="preserve"> </v>
      </c>
      <c r="BD184" s="32"/>
      <c r="BE184" s="32"/>
      <c r="BF184" s="53"/>
      <c r="BG184" s="21" t="str">
        <f>IFERROR(VLOOKUP(July[[#This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21" t="str">
        <f>IFERROR(VLOOKUP(July[[#This Row],[Drug Name]],'Data Options'!$R$1:$S$100,2,FALSE), " ")</f>
        <v xml:space="preserve"> </v>
      </c>
      <c r="R185" s="32"/>
      <c r="S185" s="32"/>
      <c r="T185" s="53"/>
      <c r="U185" s="21" t="str">
        <f>IFERROR(VLOOKUP(July[[#This Row],[Drug Name2]],'Data Options'!$R$1:$S$100,2,FALSE), " ")</f>
        <v xml:space="preserve"> </v>
      </c>
      <c r="V185" s="32"/>
      <c r="W185" s="32"/>
      <c r="X185" s="53"/>
      <c r="Y185" s="21" t="str">
        <f>IFERROR(VLOOKUP(July[[#This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21" t="str">
        <f>IFERROR(VLOOKUP(July[[#This Row],[Drug Name4]],'Data Options'!$R$1:$S$100,2,FALSE), " ")</f>
        <v xml:space="preserve"> </v>
      </c>
      <c r="AI185" s="32"/>
      <c r="AJ185" s="32"/>
      <c r="AK185" s="53"/>
      <c r="AL185" s="21" t="str">
        <f>IFERROR(VLOOKUP(July[[#This Row],[Drug Name5]],'Data Options'!$R$1:$S$100,2,FALSE), " ")</f>
        <v xml:space="preserve"> </v>
      </c>
      <c r="AM185" s="32"/>
      <c r="AN185" s="32"/>
      <c r="AO185" s="53"/>
      <c r="AP185" s="21" t="str">
        <f>IFERROR(VLOOKUP(July[[#This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21" t="str">
        <f>IFERROR(VLOOKUP(July[[#This Row],[Drug Name7]],'Data Options'!$R$1:$S$100,2,FALSE), " ")</f>
        <v xml:space="preserve"> </v>
      </c>
      <c r="AZ185" s="32"/>
      <c r="BA185" s="32"/>
      <c r="BB185" s="53"/>
      <c r="BC185" s="21" t="str">
        <f>IFERROR(VLOOKUP(July[[#This Row],[Drug Name8]],'Data Options'!$R$1:$S$100,2,FALSE), " ")</f>
        <v xml:space="preserve"> </v>
      </c>
      <c r="BD185" s="32"/>
      <c r="BE185" s="32"/>
      <c r="BF185" s="53"/>
      <c r="BG185" s="21" t="str">
        <f>IFERROR(VLOOKUP(July[[#This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21" t="str">
        <f>IFERROR(VLOOKUP(July[[#This Row],[Drug Name]],'Data Options'!$R$1:$S$100,2,FALSE), " ")</f>
        <v xml:space="preserve"> </v>
      </c>
      <c r="R186" s="32"/>
      <c r="S186" s="32"/>
      <c r="T186" s="53"/>
      <c r="U186" s="21" t="str">
        <f>IFERROR(VLOOKUP(July[[#This Row],[Drug Name2]],'Data Options'!$R$1:$S$100,2,FALSE), " ")</f>
        <v xml:space="preserve"> </v>
      </c>
      <c r="V186" s="32"/>
      <c r="W186" s="32"/>
      <c r="X186" s="53"/>
      <c r="Y186" s="21" t="str">
        <f>IFERROR(VLOOKUP(July[[#This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21" t="str">
        <f>IFERROR(VLOOKUP(July[[#This Row],[Drug Name4]],'Data Options'!$R$1:$S$100,2,FALSE), " ")</f>
        <v xml:space="preserve"> </v>
      </c>
      <c r="AI186" s="32"/>
      <c r="AJ186" s="32"/>
      <c r="AK186" s="53"/>
      <c r="AL186" s="21" t="str">
        <f>IFERROR(VLOOKUP(July[[#This Row],[Drug Name5]],'Data Options'!$R$1:$S$100,2,FALSE), " ")</f>
        <v xml:space="preserve"> </v>
      </c>
      <c r="AM186" s="32"/>
      <c r="AN186" s="32"/>
      <c r="AO186" s="53"/>
      <c r="AP186" s="21" t="str">
        <f>IFERROR(VLOOKUP(July[[#This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21" t="str">
        <f>IFERROR(VLOOKUP(July[[#This Row],[Drug Name7]],'Data Options'!$R$1:$S$100,2,FALSE), " ")</f>
        <v xml:space="preserve"> </v>
      </c>
      <c r="AZ186" s="32"/>
      <c r="BA186" s="32"/>
      <c r="BB186" s="53"/>
      <c r="BC186" s="21" t="str">
        <f>IFERROR(VLOOKUP(July[[#This Row],[Drug Name8]],'Data Options'!$R$1:$S$100,2,FALSE), " ")</f>
        <v xml:space="preserve"> </v>
      </c>
      <c r="BD186" s="32"/>
      <c r="BE186" s="32"/>
      <c r="BF186" s="53"/>
      <c r="BG186" s="21" t="str">
        <f>IFERROR(VLOOKUP(July[[#This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21" t="str">
        <f>IFERROR(VLOOKUP(July[[#This Row],[Drug Name]],'Data Options'!$R$1:$S$100,2,FALSE), " ")</f>
        <v xml:space="preserve"> </v>
      </c>
      <c r="R187" s="32"/>
      <c r="S187" s="32"/>
      <c r="T187" s="53"/>
      <c r="U187" s="21" t="str">
        <f>IFERROR(VLOOKUP(July[[#This Row],[Drug Name2]],'Data Options'!$R$1:$S$100,2,FALSE), " ")</f>
        <v xml:space="preserve"> </v>
      </c>
      <c r="V187" s="32"/>
      <c r="W187" s="32"/>
      <c r="X187" s="53"/>
      <c r="Y187" s="21" t="str">
        <f>IFERROR(VLOOKUP(July[[#This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21" t="str">
        <f>IFERROR(VLOOKUP(July[[#This Row],[Drug Name4]],'Data Options'!$R$1:$S$100,2,FALSE), " ")</f>
        <v xml:space="preserve"> </v>
      </c>
      <c r="AI187" s="32"/>
      <c r="AJ187" s="32"/>
      <c r="AK187" s="53"/>
      <c r="AL187" s="21" t="str">
        <f>IFERROR(VLOOKUP(July[[#This Row],[Drug Name5]],'Data Options'!$R$1:$S$100,2,FALSE), " ")</f>
        <v xml:space="preserve"> </v>
      </c>
      <c r="AM187" s="32"/>
      <c r="AN187" s="32"/>
      <c r="AO187" s="53"/>
      <c r="AP187" s="21" t="str">
        <f>IFERROR(VLOOKUP(July[[#This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21" t="str">
        <f>IFERROR(VLOOKUP(July[[#This Row],[Drug Name7]],'Data Options'!$R$1:$S$100,2,FALSE), " ")</f>
        <v xml:space="preserve"> </v>
      </c>
      <c r="AZ187" s="32"/>
      <c r="BA187" s="32"/>
      <c r="BB187" s="53"/>
      <c r="BC187" s="21" t="str">
        <f>IFERROR(VLOOKUP(July[[#This Row],[Drug Name8]],'Data Options'!$R$1:$S$100,2,FALSE), " ")</f>
        <v xml:space="preserve"> </v>
      </c>
      <c r="BD187" s="32"/>
      <c r="BE187" s="32"/>
      <c r="BF187" s="53"/>
      <c r="BG187" s="21" t="str">
        <f>IFERROR(VLOOKUP(July[[#This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21" t="str">
        <f>IFERROR(VLOOKUP(July[[#This Row],[Drug Name]],'Data Options'!$R$1:$S$100,2,FALSE), " ")</f>
        <v xml:space="preserve"> </v>
      </c>
      <c r="R188" s="32"/>
      <c r="S188" s="32"/>
      <c r="T188" s="53"/>
      <c r="U188" s="21" t="str">
        <f>IFERROR(VLOOKUP(July[[#This Row],[Drug Name2]],'Data Options'!$R$1:$S$100,2,FALSE), " ")</f>
        <v xml:space="preserve"> </v>
      </c>
      <c r="V188" s="32"/>
      <c r="W188" s="32"/>
      <c r="X188" s="53"/>
      <c r="Y188" s="21" t="str">
        <f>IFERROR(VLOOKUP(July[[#This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21" t="str">
        <f>IFERROR(VLOOKUP(July[[#This Row],[Drug Name4]],'Data Options'!$R$1:$S$100,2,FALSE), " ")</f>
        <v xml:space="preserve"> </v>
      </c>
      <c r="AI188" s="32"/>
      <c r="AJ188" s="32"/>
      <c r="AK188" s="53"/>
      <c r="AL188" s="21" t="str">
        <f>IFERROR(VLOOKUP(July[[#This Row],[Drug Name5]],'Data Options'!$R$1:$S$100,2,FALSE), " ")</f>
        <v xml:space="preserve"> </v>
      </c>
      <c r="AM188" s="32"/>
      <c r="AN188" s="32"/>
      <c r="AO188" s="53"/>
      <c r="AP188" s="21" t="str">
        <f>IFERROR(VLOOKUP(July[[#This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21" t="str">
        <f>IFERROR(VLOOKUP(July[[#This Row],[Drug Name7]],'Data Options'!$R$1:$S$100,2,FALSE), " ")</f>
        <v xml:space="preserve"> </v>
      </c>
      <c r="AZ188" s="32"/>
      <c r="BA188" s="32"/>
      <c r="BB188" s="53"/>
      <c r="BC188" s="21" t="str">
        <f>IFERROR(VLOOKUP(July[[#This Row],[Drug Name8]],'Data Options'!$R$1:$S$100,2,FALSE), " ")</f>
        <v xml:space="preserve"> </v>
      </c>
      <c r="BD188" s="32"/>
      <c r="BE188" s="32"/>
      <c r="BF188" s="53"/>
      <c r="BG188" s="21" t="str">
        <f>IFERROR(VLOOKUP(July[[#This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21" t="str">
        <f>IFERROR(VLOOKUP(July[[#This Row],[Drug Name]],'Data Options'!$R$1:$S$100,2,FALSE), " ")</f>
        <v xml:space="preserve"> </v>
      </c>
      <c r="R189" s="32"/>
      <c r="S189" s="32"/>
      <c r="T189" s="53"/>
      <c r="U189" s="21" t="str">
        <f>IFERROR(VLOOKUP(July[[#This Row],[Drug Name2]],'Data Options'!$R$1:$S$100,2,FALSE), " ")</f>
        <v xml:space="preserve"> </v>
      </c>
      <c r="V189" s="32"/>
      <c r="W189" s="32"/>
      <c r="X189" s="53"/>
      <c r="Y189" s="21" t="str">
        <f>IFERROR(VLOOKUP(July[[#This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21" t="str">
        <f>IFERROR(VLOOKUP(July[[#This Row],[Drug Name4]],'Data Options'!$R$1:$S$100,2,FALSE), " ")</f>
        <v xml:space="preserve"> </v>
      </c>
      <c r="AI189" s="32"/>
      <c r="AJ189" s="32"/>
      <c r="AK189" s="53"/>
      <c r="AL189" s="21" t="str">
        <f>IFERROR(VLOOKUP(July[[#This Row],[Drug Name5]],'Data Options'!$R$1:$S$100,2,FALSE), " ")</f>
        <v xml:space="preserve"> </v>
      </c>
      <c r="AM189" s="32"/>
      <c r="AN189" s="32"/>
      <c r="AO189" s="53"/>
      <c r="AP189" s="21" t="str">
        <f>IFERROR(VLOOKUP(July[[#This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21" t="str">
        <f>IFERROR(VLOOKUP(July[[#This Row],[Drug Name7]],'Data Options'!$R$1:$S$100,2,FALSE), " ")</f>
        <v xml:space="preserve"> </v>
      </c>
      <c r="AZ189" s="32"/>
      <c r="BA189" s="32"/>
      <c r="BB189" s="53"/>
      <c r="BC189" s="21" t="str">
        <f>IFERROR(VLOOKUP(July[[#This Row],[Drug Name8]],'Data Options'!$R$1:$S$100,2,FALSE), " ")</f>
        <v xml:space="preserve"> </v>
      </c>
      <c r="BD189" s="32"/>
      <c r="BE189" s="32"/>
      <c r="BF189" s="53"/>
      <c r="BG189" s="21" t="str">
        <f>IFERROR(VLOOKUP(July[[#This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21" t="str">
        <f>IFERROR(VLOOKUP(July[[#This Row],[Drug Name]],'Data Options'!$R$1:$S$100,2,FALSE), " ")</f>
        <v xml:space="preserve"> </v>
      </c>
      <c r="R190" s="32"/>
      <c r="S190" s="32"/>
      <c r="T190" s="53"/>
      <c r="U190" s="21" t="str">
        <f>IFERROR(VLOOKUP(July[[#This Row],[Drug Name2]],'Data Options'!$R$1:$S$100,2,FALSE), " ")</f>
        <v xml:space="preserve"> </v>
      </c>
      <c r="V190" s="32"/>
      <c r="W190" s="32"/>
      <c r="X190" s="53"/>
      <c r="Y190" s="21" t="str">
        <f>IFERROR(VLOOKUP(July[[#This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21" t="str">
        <f>IFERROR(VLOOKUP(July[[#This Row],[Drug Name4]],'Data Options'!$R$1:$S$100,2,FALSE), " ")</f>
        <v xml:space="preserve"> </v>
      </c>
      <c r="AI190" s="32"/>
      <c r="AJ190" s="32"/>
      <c r="AK190" s="53"/>
      <c r="AL190" s="21" t="str">
        <f>IFERROR(VLOOKUP(July[[#This Row],[Drug Name5]],'Data Options'!$R$1:$S$100,2,FALSE), " ")</f>
        <v xml:space="preserve"> </v>
      </c>
      <c r="AM190" s="32"/>
      <c r="AN190" s="32"/>
      <c r="AO190" s="53"/>
      <c r="AP190" s="21" t="str">
        <f>IFERROR(VLOOKUP(July[[#This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21" t="str">
        <f>IFERROR(VLOOKUP(July[[#This Row],[Drug Name7]],'Data Options'!$R$1:$S$100,2,FALSE), " ")</f>
        <v xml:space="preserve"> </v>
      </c>
      <c r="AZ190" s="32"/>
      <c r="BA190" s="32"/>
      <c r="BB190" s="53"/>
      <c r="BC190" s="21" t="str">
        <f>IFERROR(VLOOKUP(July[[#This Row],[Drug Name8]],'Data Options'!$R$1:$S$100,2,FALSE), " ")</f>
        <v xml:space="preserve"> </v>
      </c>
      <c r="BD190" s="32"/>
      <c r="BE190" s="32"/>
      <c r="BF190" s="53"/>
      <c r="BG190" s="21" t="str">
        <f>IFERROR(VLOOKUP(July[[#This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21" t="str">
        <f>IFERROR(VLOOKUP(July[[#This Row],[Drug Name]],'Data Options'!$R$1:$S$100,2,FALSE), " ")</f>
        <v xml:space="preserve"> </v>
      </c>
      <c r="R191" s="32"/>
      <c r="S191" s="32"/>
      <c r="T191" s="53"/>
      <c r="U191" s="21" t="str">
        <f>IFERROR(VLOOKUP(July[[#This Row],[Drug Name2]],'Data Options'!$R$1:$S$100,2,FALSE), " ")</f>
        <v xml:space="preserve"> </v>
      </c>
      <c r="V191" s="32"/>
      <c r="W191" s="32"/>
      <c r="X191" s="53"/>
      <c r="Y191" s="21" t="str">
        <f>IFERROR(VLOOKUP(July[[#This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21" t="str">
        <f>IFERROR(VLOOKUP(July[[#This Row],[Drug Name4]],'Data Options'!$R$1:$S$100,2,FALSE), " ")</f>
        <v xml:space="preserve"> </v>
      </c>
      <c r="AI191" s="32"/>
      <c r="AJ191" s="32"/>
      <c r="AK191" s="53"/>
      <c r="AL191" s="21" t="str">
        <f>IFERROR(VLOOKUP(July[[#This Row],[Drug Name5]],'Data Options'!$R$1:$S$100,2,FALSE), " ")</f>
        <v xml:space="preserve"> </v>
      </c>
      <c r="AM191" s="32"/>
      <c r="AN191" s="32"/>
      <c r="AO191" s="53"/>
      <c r="AP191" s="21" t="str">
        <f>IFERROR(VLOOKUP(July[[#This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21" t="str">
        <f>IFERROR(VLOOKUP(July[[#This Row],[Drug Name7]],'Data Options'!$R$1:$S$100,2,FALSE), " ")</f>
        <v xml:space="preserve"> </v>
      </c>
      <c r="AZ191" s="32"/>
      <c r="BA191" s="32"/>
      <c r="BB191" s="53"/>
      <c r="BC191" s="21" t="str">
        <f>IFERROR(VLOOKUP(July[[#This Row],[Drug Name8]],'Data Options'!$R$1:$S$100,2,FALSE), " ")</f>
        <v xml:space="preserve"> </v>
      </c>
      <c r="BD191" s="32"/>
      <c r="BE191" s="32"/>
      <c r="BF191" s="53"/>
      <c r="BG191" s="21" t="str">
        <f>IFERROR(VLOOKUP(July[[#This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21" t="str">
        <f>IFERROR(VLOOKUP(July[[#This Row],[Drug Name]],'Data Options'!$R$1:$S$100,2,FALSE), " ")</f>
        <v xml:space="preserve"> </v>
      </c>
      <c r="R192" s="32"/>
      <c r="S192" s="32"/>
      <c r="T192" s="53"/>
      <c r="U192" s="21" t="str">
        <f>IFERROR(VLOOKUP(July[[#This Row],[Drug Name2]],'Data Options'!$R$1:$S$100,2,FALSE), " ")</f>
        <v xml:space="preserve"> </v>
      </c>
      <c r="V192" s="32"/>
      <c r="W192" s="32"/>
      <c r="X192" s="53"/>
      <c r="Y192" s="21" t="str">
        <f>IFERROR(VLOOKUP(July[[#This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21" t="str">
        <f>IFERROR(VLOOKUP(July[[#This Row],[Drug Name4]],'Data Options'!$R$1:$S$100,2,FALSE), " ")</f>
        <v xml:space="preserve"> </v>
      </c>
      <c r="AI192" s="32"/>
      <c r="AJ192" s="32"/>
      <c r="AK192" s="53"/>
      <c r="AL192" s="21" t="str">
        <f>IFERROR(VLOOKUP(July[[#This Row],[Drug Name5]],'Data Options'!$R$1:$S$100,2,FALSE), " ")</f>
        <v xml:space="preserve"> </v>
      </c>
      <c r="AM192" s="32"/>
      <c r="AN192" s="32"/>
      <c r="AO192" s="53"/>
      <c r="AP192" s="21" t="str">
        <f>IFERROR(VLOOKUP(July[[#This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21" t="str">
        <f>IFERROR(VLOOKUP(July[[#This Row],[Drug Name7]],'Data Options'!$R$1:$S$100,2,FALSE), " ")</f>
        <v xml:space="preserve"> </v>
      </c>
      <c r="AZ192" s="32"/>
      <c r="BA192" s="32"/>
      <c r="BB192" s="53"/>
      <c r="BC192" s="21" t="str">
        <f>IFERROR(VLOOKUP(July[[#This Row],[Drug Name8]],'Data Options'!$R$1:$S$100,2,FALSE), " ")</f>
        <v xml:space="preserve"> </v>
      </c>
      <c r="BD192" s="32"/>
      <c r="BE192" s="32"/>
      <c r="BF192" s="53"/>
      <c r="BG192" s="21" t="str">
        <f>IFERROR(VLOOKUP(July[[#This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21" t="str">
        <f>IFERROR(VLOOKUP(July[[#This Row],[Drug Name]],'Data Options'!$R$1:$S$100,2,FALSE), " ")</f>
        <v xml:space="preserve"> </v>
      </c>
      <c r="R193" s="32"/>
      <c r="S193" s="32"/>
      <c r="T193" s="53"/>
      <c r="U193" s="21" t="str">
        <f>IFERROR(VLOOKUP(July[[#This Row],[Drug Name2]],'Data Options'!$R$1:$S$100,2,FALSE), " ")</f>
        <v xml:space="preserve"> </v>
      </c>
      <c r="V193" s="32"/>
      <c r="W193" s="32"/>
      <c r="X193" s="53"/>
      <c r="Y193" s="21" t="str">
        <f>IFERROR(VLOOKUP(July[[#This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21" t="str">
        <f>IFERROR(VLOOKUP(July[[#This Row],[Drug Name4]],'Data Options'!$R$1:$S$100,2,FALSE), " ")</f>
        <v xml:space="preserve"> </v>
      </c>
      <c r="AI193" s="32"/>
      <c r="AJ193" s="32"/>
      <c r="AK193" s="53"/>
      <c r="AL193" s="21" t="str">
        <f>IFERROR(VLOOKUP(July[[#This Row],[Drug Name5]],'Data Options'!$R$1:$S$100,2,FALSE), " ")</f>
        <v xml:space="preserve"> </v>
      </c>
      <c r="AM193" s="32"/>
      <c r="AN193" s="32"/>
      <c r="AO193" s="53"/>
      <c r="AP193" s="21" t="str">
        <f>IFERROR(VLOOKUP(July[[#This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21" t="str">
        <f>IFERROR(VLOOKUP(July[[#This Row],[Drug Name7]],'Data Options'!$R$1:$S$100,2,FALSE), " ")</f>
        <v xml:space="preserve"> </v>
      </c>
      <c r="AZ193" s="32"/>
      <c r="BA193" s="32"/>
      <c r="BB193" s="53"/>
      <c r="BC193" s="21" t="str">
        <f>IFERROR(VLOOKUP(July[[#This Row],[Drug Name8]],'Data Options'!$R$1:$S$100,2,FALSE), " ")</f>
        <v xml:space="preserve"> </v>
      </c>
      <c r="BD193" s="32"/>
      <c r="BE193" s="32"/>
      <c r="BF193" s="53"/>
      <c r="BG193" s="21" t="str">
        <f>IFERROR(VLOOKUP(July[[#This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21" t="str">
        <f>IFERROR(VLOOKUP(July[[#This Row],[Drug Name]],'Data Options'!$R$1:$S$100,2,FALSE), " ")</f>
        <v xml:space="preserve"> </v>
      </c>
      <c r="R194" s="32"/>
      <c r="S194" s="32"/>
      <c r="T194" s="53"/>
      <c r="U194" s="21" t="str">
        <f>IFERROR(VLOOKUP(July[[#This Row],[Drug Name2]],'Data Options'!$R$1:$S$100,2,FALSE), " ")</f>
        <v xml:space="preserve"> </v>
      </c>
      <c r="V194" s="32"/>
      <c r="W194" s="32"/>
      <c r="X194" s="53"/>
      <c r="Y194" s="21" t="str">
        <f>IFERROR(VLOOKUP(July[[#This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21" t="str">
        <f>IFERROR(VLOOKUP(July[[#This Row],[Drug Name4]],'Data Options'!$R$1:$S$100,2,FALSE), " ")</f>
        <v xml:space="preserve"> </v>
      </c>
      <c r="AI194" s="32"/>
      <c r="AJ194" s="32"/>
      <c r="AK194" s="53"/>
      <c r="AL194" s="21" t="str">
        <f>IFERROR(VLOOKUP(July[[#This Row],[Drug Name5]],'Data Options'!$R$1:$S$100,2,FALSE), " ")</f>
        <v xml:space="preserve"> </v>
      </c>
      <c r="AM194" s="32"/>
      <c r="AN194" s="32"/>
      <c r="AO194" s="53"/>
      <c r="AP194" s="21" t="str">
        <f>IFERROR(VLOOKUP(July[[#This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21" t="str">
        <f>IFERROR(VLOOKUP(July[[#This Row],[Drug Name7]],'Data Options'!$R$1:$S$100,2,FALSE), " ")</f>
        <v xml:space="preserve"> </v>
      </c>
      <c r="AZ194" s="32"/>
      <c r="BA194" s="32"/>
      <c r="BB194" s="53"/>
      <c r="BC194" s="21" t="str">
        <f>IFERROR(VLOOKUP(July[[#This Row],[Drug Name8]],'Data Options'!$R$1:$S$100,2,FALSE), " ")</f>
        <v xml:space="preserve"> </v>
      </c>
      <c r="BD194" s="32"/>
      <c r="BE194" s="32"/>
      <c r="BF194" s="53"/>
      <c r="BG194" s="21" t="str">
        <f>IFERROR(VLOOKUP(July[[#This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21" t="str">
        <f>IFERROR(VLOOKUP(July[[#This Row],[Drug Name]],'Data Options'!$R$1:$S$100,2,FALSE), " ")</f>
        <v xml:space="preserve"> </v>
      </c>
      <c r="R195" s="32"/>
      <c r="S195" s="32"/>
      <c r="T195" s="53"/>
      <c r="U195" s="21" t="str">
        <f>IFERROR(VLOOKUP(July[[#This Row],[Drug Name2]],'Data Options'!$R$1:$S$100,2,FALSE), " ")</f>
        <v xml:space="preserve"> </v>
      </c>
      <c r="V195" s="32"/>
      <c r="W195" s="32"/>
      <c r="X195" s="53"/>
      <c r="Y195" s="21" t="str">
        <f>IFERROR(VLOOKUP(July[[#This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21" t="str">
        <f>IFERROR(VLOOKUP(July[[#This Row],[Drug Name4]],'Data Options'!$R$1:$S$100,2,FALSE), " ")</f>
        <v xml:space="preserve"> </v>
      </c>
      <c r="AI195" s="32"/>
      <c r="AJ195" s="32"/>
      <c r="AK195" s="53"/>
      <c r="AL195" s="21" t="str">
        <f>IFERROR(VLOOKUP(July[[#This Row],[Drug Name5]],'Data Options'!$R$1:$S$100,2,FALSE), " ")</f>
        <v xml:space="preserve"> </v>
      </c>
      <c r="AM195" s="32"/>
      <c r="AN195" s="32"/>
      <c r="AO195" s="53"/>
      <c r="AP195" s="21" t="str">
        <f>IFERROR(VLOOKUP(July[[#This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21" t="str">
        <f>IFERROR(VLOOKUP(July[[#This Row],[Drug Name7]],'Data Options'!$R$1:$S$100,2,FALSE), " ")</f>
        <v xml:space="preserve"> </v>
      </c>
      <c r="AZ195" s="32"/>
      <c r="BA195" s="32"/>
      <c r="BB195" s="53"/>
      <c r="BC195" s="21" t="str">
        <f>IFERROR(VLOOKUP(July[[#This Row],[Drug Name8]],'Data Options'!$R$1:$S$100,2,FALSE), " ")</f>
        <v xml:space="preserve"> </v>
      </c>
      <c r="BD195" s="32"/>
      <c r="BE195" s="32"/>
      <c r="BF195" s="53"/>
      <c r="BG195" s="21" t="str">
        <f>IFERROR(VLOOKUP(July[[#This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21" t="str">
        <f>IFERROR(VLOOKUP(July[[#This Row],[Drug Name]],'Data Options'!$R$1:$S$100,2,FALSE), " ")</f>
        <v xml:space="preserve"> </v>
      </c>
      <c r="R196" s="32"/>
      <c r="S196" s="32"/>
      <c r="T196" s="53"/>
      <c r="U196" s="21" t="str">
        <f>IFERROR(VLOOKUP(July[[#This Row],[Drug Name2]],'Data Options'!$R$1:$S$100,2,FALSE), " ")</f>
        <v xml:space="preserve"> </v>
      </c>
      <c r="V196" s="32"/>
      <c r="W196" s="32"/>
      <c r="X196" s="53"/>
      <c r="Y196" s="21" t="str">
        <f>IFERROR(VLOOKUP(July[[#This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21" t="str">
        <f>IFERROR(VLOOKUP(July[[#This Row],[Drug Name4]],'Data Options'!$R$1:$S$100,2,FALSE), " ")</f>
        <v xml:space="preserve"> </v>
      </c>
      <c r="AI196" s="32"/>
      <c r="AJ196" s="32"/>
      <c r="AK196" s="53"/>
      <c r="AL196" s="21" t="str">
        <f>IFERROR(VLOOKUP(July[[#This Row],[Drug Name5]],'Data Options'!$R$1:$S$100,2,FALSE), " ")</f>
        <v xml:space="preserve"> </v>
      </c>
      <c r="AM196" s="32"/>
      <c r="AN196" s="32"/>
      <c r="AO196" s="53"/>
      <c r="AP196" s="21" t="str">
        <f>IFERROR(VLOOKUP(July[[#This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21" t="str">
        <f>IFERROR(VLOOKUP(July[[#This Row],[Drug Name7]],'Data Options'!$R$1:$S$100,2,FALSE), " ")</f>
        <v xml:space="preserve"> </v>
      </c>
      <c r="AZ196" s="32"/>
      <c r="BA196" s="32"/>
      <c r="BB196" s="53"/>
      <c r="BC196" s="21" t="str">
        <f>IFERROR(VLOOKUP(July[[#This Row],[Drug Name8]],'Data Options'!$R$1:$S$100,2,FALSE), " ")</f>
        <v xml:space="preserve"> </v>
      </c>
      <c r="BD196" s="32"/>
      <c r="BE196" s="32"/>
      <c r="BF196" s="53"/>
      <c r="BG196" s="21" t="str">
        <f>IFERROR(VLOOKUP(July[[#This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21" t="str">
        <f>IFERROR(VLOOKUP(July[[#This Row],[Drug Name]],'Data Options'!$R$1:$S$100,2,FALSE), " ")</f>
        <v xml:space="preserve"> </v>
      </c>
      <c r="R197" s="32"/>
      <c r="S197" s="32"/>
      <c r="T197" s="53"/>
      <c r="U197" s="21" t="str">
        <f>IFERROR(VLOOKUP(July[[#This Row],[Drug Name2]],'Data Options'!$R$1:$S$100,2,FALSE), " ")</f>
        <v xml:space="preserve"> </v>
      </c>
      <c r="V197" s="32"/>
      <c r="W197" s="32"/>
      <c r="X197" s="53"/>
      <c r="Y197" s="21" t="str">
        <f>IFERROR(VLOOKUP(July[[#This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21" t="str">
        <f>IFERROR(VLOOKUP(July[[#This Row],[Drug Name4]],'Data Options'!$R$1:$S$100,2,FALSE), " ")</f>
        <v xml:space="preserve"> </v>
      </c>
      <c r="AI197" s="32"/>
      <c r="AJ197" s="32"/>
      <c r="AK197" s="53"/>
      <c r="AL197" s="21" t="str">
        <f>IFERROR(VLOOKUP(July[[#This Row],[Drug Name5]],'Data Options'!$R$1:$S$100,2,FALSE), " ")</f>
        <v xml:space="preserve"> </v>
      </c>
      <c r="AM197" s="32"/>
      <c r="AN197" s="32"/>
      <c r="AO197" s="53"/>
      <c r="AP197" s="21" t="str">
        <f>IFERROR(VLOOKUP(July[[#This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21" t="str">
        <f>IFERROR(VLOOKUP(July[[#This Row],[Drug Name7]],'Data Options'!$R$1:$S$100,2,FALSE), " ")</f>
        <v xml:space="preserve"> </v>
      </c>
      <c r="AZ197" s="32"/>
      <c r="BA197" s="32"/>
      <c r="BB197" s="53"/>
      <c r="BC197" s="21" t="str">
        <f>IFERROR(VLOOKUP(July[[#This Row],[Drug Name8]],'Data Options'!$R$1:$S$100,2,FALSE), " ")</f>
        <v xml:space="preserve"> </v>
      </c>
      <c r="BD197" s="32"/>
      <c r="BE197" s="32"/>
      <c r="BF197" s="53"/>
      <c r="BG197" s="21" t="str">
        <f>IFERROR(VLOOKUP(July[[#This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21" t="str">
        <f>IFERROR(VLOOKUP(July[[#This Row],[Drug Name]],'Data Options'!$R$1:$S$100,2,FALSE), " ")</f>
        <v xml:space="preserve"> </v>
      </c>
      <c r="R198" s="32"/>
      <c r="S198" s="32"/>
      <c r="T198" s="53"/>
      <c r="U198" s="21" t="str">
        <f>IFERROR(VLOOKUP(July[[#This Row],[Drug Name2]],'Data Options'!$R$1:$S$100,2,FALSE), " ")</f>
        <v xml:space="preserve"> </v>
      </c>
      <c r="V198" s="32"/>
      <c r="W198" s="32"/>
      <c r="X198" s="53"/>
      <c r="Y198" s="21" t="str">
        <f>IFERROR(VLOOKUP(July[[#This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21" t="str">
        <f>IFERROR(VLOOKUP(July[[#This Row],[Drug Name4]],'Data Options'!$R$1:$S$100,2,FALSE), " ")</f>
        <v xml:space="preserve"> </v>
      </c>
      <c r="AI198" s="32"/>
      <c r="AJ198" s="32"/>
      <c r="AK198" s="53"/>
      <c r="AL198" s="21" t="str">
        <f>IFERROR(VLOOKUP(July[[#This Row],[Drug Name5]],'Data Options'!$R$1:$S$100,2,FALSE), " ")</f>
        <v xml:space="preserve"> </v>
      </c>
      <c r="AM198" s="32"/>
      <c r="AN198" s="32"/>
      <c r="AO198" s="53"/>
      <c r="AP198" s="21" t="str">
        <f>IFERROR(VLOOKUP(July[[#This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21" t="str">
        <f>IFERROR(VLOOKUP(July[[#This Row],[Drug Name7]],'Data Options'!$R$1:$S$100,2,FALSE), " ")</f>
        <v xml:space="preserve"> </v>
      </c>
      <c r="AZ198" s="32"/>
      <c r="BA198" s="32"/>
      <c r="BB198" s="53"/>
      <c r="BC198" s="21" t="str">
        <f>IFERROR(VLOOKUP(July[[#This Row],[Drug Name8]],'Data Options'!$R$1:$S$100,2,FALSE), " ")</f>
        <v xml:space="preserve"> </v>
      </c>
      <c r="BD198" s="32"/>
      <c r="BE198" s="32"/>
      <c r="BF198" s="53"/>
      <c r="BG198" s="21" t="str">
        <f>IFERROR(VLOOKUP(July[[#This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21" t="str">
        <f>IFERROR(VLOOKUP(July[[#This Row],[Drug Name]],'Data Options'!$R$1:$S$100,2,FALSE), " ")</f>
        <v xml:space="preserve"> </v>
      </c>
      <c r="R199" s="32"/>
      <c r="S199" s="32"/>
      <c r="T199" s="53"/>
      <c r="U199" s="21" t="str">
        <f>IFERROR(VLOOKUP(July[[#This Row],[Drug Name2]],'Data Options'!$R$1:$S$100,2,FALSE), " ")</f>
        <v xml:space="preserve"> </v>
      </c>
      <c r="V199" s="32"/>
      <c r="W199" s="32"/>
      <c r="X199" s="53"/>
      <c r="Y199" s="21" t="str">
        <f>IFERROR(VLOOKUP(July[[#This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21" t="str">
        <f>IFERROR(VLOOKUP(July[[#This Row],[Drug Name4]],'Data Options'!$R$1:$S$100,2,FALSE), " ")</f>
        <v xml:space="preserve"> </v>
      </c>
      <c r="AI199" s="32"/>
      <c r="AJ199" s="32"/>
      <c r="AK199" s="53"/>
      <c r="AL199" s="21" t="str">
        <f>IFERROR(VLOOKUP(July[[#This Row],[Drug Name5]],'Data Options'!$R$1:$S$100,2,FALSE), " ")</f>
        <v xml:space="preserve"> </v>
      </c>
      <c r="AM199" s="32"/>
      <c r="AN199" s="32"/>
      <c r="AO199" s="53"/>
      <c r="AP199" s="21" t="str">
        <f>IFERROR(VLOOKUP(July[[#This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21" t="str">
        <f>IFERROR(VLOOKUP(July[[#This Row],[Drug Name7]],'Data Options'!$R$1:$S$100,2,FALSE), " ")</f>
        <v xml:space="preserve"> </v>
      </c>
      <c r="AZ199" s="32"/>
      <c r="BA199" s="32"/>
      <c r="BB199" s="53"/>
      <c r="BC199" s="21" t="str">
        <f>IFERROR(VLOOKUP(July[[#This Row],[Drug Name8]],'Data Options'!$R$1:$S$100,2,FALSE), " ")</f>
        <v xml:space="preserve"> </v>
      </c>
      <c r="BD199" s="32"/>
      <c r="BE199" s="32"/>
      <c r="BF199" s="53"/>
      <c r="BG199" s="21" t="str">
        <f>IFERROR(VLOOKUP(July[[#This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21" t="str">
        <f>IFERROR(VLOOKUP(July[[#This Row],[Drug Name]],'Data Options'!$R$1:$S$100,2,FALSE), " ")</f>
        <v xml:space="preserve"> </v>
      </c>
      <c r="R200" s="32"/>
      <c r="S200" s="32"/>
      <c r="T200" s="53"/>
      <c r="U200" s="21" t="str">
        <f>IFERROR(VLOOKUP(July[[#This Row],[Drug Name2]],'Data Options'!$R$1:$S$100,2,FALSE), " ")</f>
        <v xml:space="preserve"> </v>
      </c>
      <c r="V200" s="32"/>
      <c r="W200" s="32"/>
      <c r="X200" s="53"/>
      <c r="Y200" s="21" t="str">
        <f>IFERROR(VLOOKUP(July[[#This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21" t="str">
        <f>IFERROR(VLOOKUP(July[[#This Row],[Drug Name4]],'Data Options'!$R$1:$S$100,2,FALSE), " ")</f>
        <v xml:space="preserve"> </v>
      </c>
      <c r="AI200" s="32"/>
      <c r="AJ200" s="32"/>
      <c r="AK200" s="53"/>
      <c r="AL200" s="21" t="str">
        <f>IFERROR(VLOOKUP(July[[#This Row],[Drug Name5]],'Data Options'!$R$1:$S$100,2,FALSE), " ")</f>
        <v xml:space="preserve"> </v>
      </c>
      <c r="AM200" s="32"/>
      <c r="AN200" s="32"/>
      <c r="AO200" s="53"/>
      <c r="AP200" s="21" t="str">
        <f>IFERROR(VLOOKUP(July[[#This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21" t="str">
        <f>IFERROR(VLOOKUP(July[[#This Row],[Drug Name7]],'Data Options'!$R$1:$S$100,2,FALSE), " ")</f>
        <v xml:space="preserve"> </v>
      </c>
      <c r="AZ200" s="32"/>
      <c r="BA200" s="32"/>
      <c r="BB200" s="53"/>
      <c r="BC200" s="21" t="str">
        <f>IFERROR(VLOOKUP(July[[#This Row],[Drug Name8]],'Data Options'!$R$1:$S$100,2,FALSE), " ")</f>
        <v xml:space="preserve"> </v>
      </c>
      <c r="BD200" s="32"/>
      <c r="BE200" s="32"/>
      <c r="BF200" s="53"/>
      <c r="BG200" s="21" t="str">
        <f>IFERROR(VLOOKUP(July[[#This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21" t="str">
        <f>IFERROR(VLOOKUP(July[[#This Row],[Drug Name]],'Data Options'!$R$1:$S$100,2,FALSE), " ")</f>
        <v xml:space="preserve"> </v>
      </c>
      <c r="R201" s="32"/>
      <c r="S201" s="32"/>
      <c r="T201" s="53"/>
      <c r="U201" s="21" t="str">
        <f>IFERROR(VLOOKUP(July[[#This Row],[Drug Name2]],'Data Options'!$R$1:$S$100,2,FALSE), " ")</f>
        <v xml:space="preserve"> </v>
      </c>
      <c r="V201" s="32"/>
      <c r="W201" s="32"/>
      <c r="X201" s="53"/>
      <c r="Y201" s="21" t="str">
        <f>IFERROR(VLOOKUP(July[[#This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21" t="str">
        <f>IFERROR(VLOOKUP(July[[#This Row],[Drug Name4]],'Data Options'!$R$1:$S$100,2,FALSE), " ")</f>
        <v xml:space="preserve"> </v>
      </c>
      <c r="AI201" s="32"/>
      <c r="AJ201" s="32"/>
      <c r="AK201" s="53"/>
      <c r="AL201" s="21" t="str">
        <f>IFERROR(VLOOKUP(July[[#This Row],[Drug Name5]],'Data Options'!$R$1:$S$100,2,FALSE), " ")</f>
        <v xml:space="preserve"> </v>
      </c>
      <c r="AM201" s="32"/>
      <c r="AN201" s="32"/>
      <c r="AO201" s="53"/>
      <c r="AP201" s="21" t="str">
        <f>IFERROR(VLOOKUP(July[[#This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21" t="str">
        <f>IFERROR(VLOOKUP(July[[#This Row],[Drug Name7]],'Data Options'!$R$1:$S$100,2,FALSE), " ")</f>
        <v xml:space="preserve"> </v>
      </c>
      <c r="AZ201" s="32"/>
      <c r="BA201" s="32"/>
      <c r="BB201" s="53"/>
      <c r="BC201" s="21" t="str">
        <f>IFERROR(VLOOKUP(July[[#This Row],[Drug Name8]],'Data Options'!$R$1:$S$100,2,FALSE), " ")</f>
        <v xml:space="preserve"> </v>
      </c>
      <c r="BD201" s="32"/>
      <c r="BE201" s="32"/>
      <c r="BF201" s="53"/>
      <c r="BG201" s="21" t="str">
        <f>IFERROR(VLOOKUP(July[[#This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oNSJ/WytONi7potbwIuCndFrcPnkXDRRutrTL/ZStUxxcZaA6cf+R0pfJpUocEEpuZaQV4OJ9EmoT3RibHpI5g==" saltValue="NC1m0hsSwjpsDTsoWr9Gjw==" spinCount="100000" sheet="1" objects="1" scenarios="1"/>
  <mergeCells count="13">
    <mergeCell ref="AX2:BA2"/>
    <mergeCell ref="BB2:BE2"/>
    <mergeCell ref="BF2:BI2"/>
    <mergeCell ref="A1:J2"/>
    <mergeCell ref="K1:Y1"/>
    <mergeCell ref="AB1:AF2"/>
    <mergeCell ref="AS1:AW2"/>
    <mergeCell ref="K2:O2"/>
    <mergeCell ref="P2:S2"/>
    <mergeCell ref="T2:W2"/>
    <mergeCell ref="X2:AA2"/>
    <mergeCell ref="AG2:AJ2"/>
    <mergeCell ref="AO2:AR2"/>
  </mergeCells>
  <phoneticPr fontId="5" type="noConversion"/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M4:AM201 AQ4:AQ201 AZ4:AZ201 BD4:BD201 BH4:BH201 AI4:AI6 AI8:AI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workbookViewId="0">
      <selection activeCell="A14" sqref="A14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44044</v>
      </c>
      <c r="B4" s="52" t="s">
        <v>317</v>
      </c>
      <c r="C4" s="32">
        <v>20071</v>
      </c>
      <c r="D4" s="32" t="s">
        <v>13</v>
      </c>
      <c r="E4" s="32" t="s">
        <v>17</v>
      </c>
      <c r="F4" s="32" t="s">
        <v>117</v>
      </c>
      <c r="G4" s="32" t="s">
        <v>149</v>
      </c>
      <c r="H4" s="32"/>
      <c r="I4" s="32" t="s">
        <v>23</v>
      </c>
      <c r="J4" s="32">
        <v>0</v>
      </c>
      <c r="K4" s="32" t="s">
        <v>99</v>
      </c>
      <c r="L4" s="32"/>
      <c r="M4" s="32"/>
      <c r="N4" s="31"/>
      <c r="O4" s="31"/>
      <c r="P4" s="53"/>
      <c r="Q4" s="21" t="str">
        <f>IFERROR(VLOOKUP(August[[#This Row],[Drug Name]],'Data Options'!$R$1:$S$100,2,FALSE), " ")</f>
        <v xml:space="preserve"> </v>
      </c>
      <c r="R4" s="32"/>
      <c r="S4" s="32"/>
      <c r="T4" s="53"/>
      <c r="U4" s="21" t="str">
        <f>IFERROR(VLOOKUP(August[[#This Row],[Drug Name2]],'Data Options'!$R$1:$S$100,2,FALSE), " ")</f>
        <v xml:space="preserve"> </v>
      </c>
      <c r="V4" s="32"/>
      <c r="W4" s="32"/>
      <c r="X4" s="53"/>
      <c r="Y4" s="21" t="str">
        <f>IFERROR(VLOOKUP(August[[#This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21" t="str">
        <f>IFERROR(VLOOKUP(August[[#This Row],[Drug Name4]],'Data Options'!$R$1:$S$100,2,FALSE), " ")</f>
        <v xml:space="preserve"> </v>
      </c>
      <c r="AI4" s="32"/>
      <c r="AJ4" s="32"/>
      <c r="AK4" s="53"/>
      <c r="AL4" s="21" t="str">
        <f>IFERROR(VLOOKUP(August[[#This Row],[Drug Name5]],'Data Options'!$R$1:$S$100,2,FALSE), " ")</f>
        <v xml:space="preserve"> </v>
      </c>
      <c r="AM4" s="32"/>
      <c r="AN4" s="32"/>
      <c r="AO4" s="53"/>
      <c r="AP4" s="21" t="str">
        <f>IFERROR(VLOOKUP(August[[#This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21" t="str">
        <f>IFERROR(VLOOKUP(August[[#This Row],[Drug Name7]],'Data Options'!$R$1:$S$100,2,FALSE), " ")</f>
        <v xml:space="preserve"> </v>
      </c>
      <c r="AZ4" s="32"/>
      <c r="BA4" s="32"/>
      <c r="BB4" s="53"/>
      <c r="BC4" s="21" t="str">
        <f>IFERROR(VLOOKUP(August[[#This Row],[Drug Name8]],'Data Options'!$R$1:$S$100,2,FALSE), " ")</f>
        <v xml:space="preserve"> </v>
      </c>
      <c r="BD4" s="32"/>
      <c r="BE4" s="32"/>
      <c r="BF4" s="53"/>
      <c r="BG4" s="21" t="str">
        <f>IFERROR(VLOOKUP(August[[#This Row],[Drug Name9]],'Data Options'!$R$1:$S$100,2,FALSE), " ")</f>
        <v xml:space="preserve"> </v>
      </c>
      <c r="BH4" s="32"/>
      <c r="BI4" s="32"/>
    </row>
    <row r="5" spans="1:61">
      <c r="A5" s="51">
        <v>44045</v>
      </c>
      <c r="B5" s="52" t="s">
        <v>317</v>
      </c>
      <c r="C5" s="32">
        <v>20072</v>
      </c>
      <c r="D5" s="32" t="s">
        <v>12</v>
      </c>
      <c r="E5" s="32" t="s">
        <v>15</v>
      </c>
      <c r="F5" s="32" t="s">
        <v>123</v>
      </c>
      <c r="G5" s="32" t="s">
        <v>292</v>
      </c>
      <c r="H5" s="32"/>
      <c r="I5" s="32" t="s">
        <v>23</v>
      </c>
      <c r="J5" s="32">
        <v>0</v>
      </c>
      <c r="K5" s="32" t="s">
        <v>64</v>
      </c>
      <c r="L5" s="32"/>
      <c r="M5" s="32"/>
      <c r="N5" s="31"/>
      <c r="O5" s="31"/>
      <c r="P5" s="53"/>
      <c r="Q5" s="21" t="str">
        <f>IFERROR(VLOOKUP(August[[#This Row],[Drug Name]],'Data Options'!$R$1:$S$100,2,FALSE), " ")</f>
        <v xml:space="preserve"> </v>
      </c>
      <c r="R5" s="32"/>
      <c r="S5" s="32"/>
      <c r="T5" s="53"/>
      <c r="U5" s="21" t="str">
        <f>IFERROR(VLOOKUP(August[[#This Row],[Drug Name2]],'Data Options'!$R$1:$S$100,2,FALSE), " ")</f>
        <v xml:space="preserve"> </v>
      </c>
      <c r="V5" s="32"/>
      <c r="W5" s="32"/>
      <c r="X5" s="53"/>
      <c r="Y5" s="21" t="str">
        <f>IFERROR(VLOOKUP(August[[#This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21" t="str">
        <f>IFERROR(VLOOKUP(August[[#This Row],[Drug Name4]],'Data Options'!$R$1:$S$100,2,FALSE), " ")</f>
        <v xml:space="preserve"> </v>
      </c>
      <c r="AI5" s="32"/>
      <c r="AJ5" s="32"/>
      <c r="AK5" s="53"/>
      <c r="AL5" s="21" t="str">
        <f>IFERROR(VLOOKUP(August[[#This Row],[Drug Name5]],'Data Options'!$R$1:$S$100,2,FALSE), " ")</f>
        <v xml:space="preserve"> </v>
      </c>
      <c r="AM5" s="32"/>
      <c r="AN5" s="32"/>
      <c r="AO5" s="53"/>
      <c r="AP5" s="21" t="str">
        <f>IFERROR(VLOOKUP(August[[#This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21" t="str">
        <f>IFERROR(VLOOKUP(August[[#This Row],[Drug Name7]],'Data Options'!$R$1:$S$100,2,FALSE), " ")</f>
        <v xml:space="preserve"> </v>
      </c>
      <c r="AZ5" s="32"/>
      <c r="BA5" s="32"/>
      <c r="BB5" s="53"/>
      <c r="BC5" s="21" t="str">
        <f>IFERROR(VLOOKUP(August[[#This Row],[Drug Name8]],'Data Options'!$R$1:$S$100,2,FALSE), " ")</f>
        <v xml:space="preserve"> </v>
      </c>
      <c r="BD5" s="32"/>
      <c r="BE5" s="32"/>
      <c r="BF5" s="53"/>
      <c r="BG5" s="21" t="str">
        <f>IFERROR(VLOOKUP(August[[#This Row],[Drug Name9]],'Data Options'!$R$1:$S$100,2,FALSE), " ")</f>
        <v xml:space="preserve"> </v>
      </c>
      <c r="BH5" s="32"/>
      <c r="BI5" s="32"/>
    </row>
    <row r="6" spans="1:61" ht="31">
      <c r="A6" s="51">
        <v>44046</v>
      </c>
      <c r="B6" s="52" t="s">
        <v>317</v>
      </c>
      <c r="C6" s="32">
        <v>20073</v>
      </c>
      <c r="D6" s="32" t="s">
        <v>12</v>
      </c>
      <c r="E6" s="32" t="s">
        <v>17</v>
      </c>
      <c r="F6" s="32" t="s">
        <v>221</v>
      </c>
      <c r="G6" s="32" t="s">
        <v>20</v>
      </c>
      <c r="H6" s="32"/>
      <c r="I6" s="32" t="s">
        <v>22</v>
      </c>
      <c r="J6" s="32">
        <v>1</v>
      </c>
      <c r="K6" s="32" t="s">
        <v>224</v>
      </c>
      <c r="L6" s="32"/>
      <c r="M6" s="32">
        <v>1</v>
      </c>
      <c r="N6" s="31" t="s">
        <v>22</v>
      </c>
      <c r="O6" s="31" t="s">
        <v>23</v>
      </c>
      <c r="P6" s="53" t="s">
        <v>251</v>
      </c>
      <c r="Q6" s="21" t="str">
        <f>IFERROR(VLOOKUP(August[[#This Row],[Drug Name]],'Data Options'!$R$1:$S$100,2,FALSE), " ")</f>
        <v>Ophthalmic</v>
      </c>
      <c r="R6" s="32" t="s">
        <v>95</v>
      </c>
      <c r="S6" s="32" t="s">
        <v>98</v>
      </c>
      <c r="T6" s="53"/>
      <c r="U6" s="21" t="str">
        <f>IFERROR(VLOOKUP(August[[#This Row],[Drug Name2]],'Data Options'!$R$1:$S$100,2,FALSE), " ")</f>
        <v xml:space="preserve"> </v>
      </c>
      <c r="V6" s="32"/>
      <c r="W6" s="32"/>
      <c r="X6" s="53"/>
      <c r="Y6" s="21" t="str">
        <f>IFERROR(VLOOKUP(August[[#This Row],[Drug Name3]],'Data Options'!$R$1:$S$100,2,FALSE), " ")</f>
        <v xml:space="preserve"> </v>
      </c>
      <c r="Z6" s="32"/>
      <c r="AA6" s="32"/>
      <c r="AB6" s="32"/>
      <c r="AC6" s="32"/>
      <c r="AD6" s="32"/>
      <c r="AE6" s="31"/>
      <c r="AF6" s="31"/>
      <c r="AG6" s="53"/>
      <c r="AH6" s="21" t="str">
        <f>IFERROR(VLOOKUP(August[[#This Row],[Drug Name4]],'Data Options'!$R$1:$S$100,2,FALSE), " ")</f>
        <v xml:space="preserve"> </v>
      </c>
      <c r="AI6" s="32"/>
      <c r="AJ6" s="32"/>
      <c r="AK6" s="53"/>
      <c r="AL6" s="21" t="str">
        <f>IFERROR(VLOOKUP(August[[#This Row],[Drug Name5]],'Data Options'!$R$1:$S$100,2,FALSE), " ")</f>
        <v xml:space="preserve"> </v>
      </c>
      <c r="AM6" s="32"/>
      <c r="AN6" s="32"/>
      <c r="AO6" s="53"/>
      <c r="AP6" s="21" t="str">
        <f>IFERROR(VLOOKUP(August[[#This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21" t="str">
        <f>IFERROR(VLOOKUP(August[[#This Row],[Drug Name7]],'Data Options'!$R$1:$S$100,2,FALSE), " ")</f>
        <v xml:space="preserve"> </v>
      </c>
      <c r="AZ6" s="32"/>
      <c r="BA6" s="32"/>
      <c r="BB6" s="53"/>
      <c r="BC6" s="21" t="str">
        <f>IFERROR(VLOOKUP(August[[#This Row],[Drug Name8]],'Data Options'!$R$1:$S$100,2,FALSE), " ")</f>
        <v xml:space="preserve"> </v>
      </c>
      <c r="BD6" s="32"/>
      <c r="BE6" s="32"/>
      <c r="BF6" s="53"/>
      <c r="BG6" s="21" t="str">
        <f>IFERROR(VLOOKUP(August[[#This Row],[Drug Name9]],'Data Options'!$R$1:$S$100,2,FALSE), " ")</f>
        <v xml:space="preserve"> </v>
      </c>
      <c r="BH6" s="32"/>
      <c r="BI6" s="32"/>
    </row>
    <row r="7" spans="1:61">
      <c r="A7" s="51">
        <v>44047</v>
      </c>
      <c r="B7" s="52" t="s">
        <v>317</v>
      </c>
      <c r="C7" s="32">
        <v>20074</v>
      </c>
      <c r="D7" s="32" t="s">
        <v>13</v>
      </c>
      <c r="E7" s="32" t="s">
        <v>17</v>
      </c>
      <c r="F7" s="32" t="s">
        <v>220</v>
      </c>
      <c r="G7" s="32" t="s">
        <v>20</v>
      </c>
      <c r="H7" s="32"/>
      <c r="I7" s="32" t="s">
        <v>22</v>
      </c>
      <c r="J7" s="32">
        <v>1</v>
      </c>
      <c r="K7" s="32" t="s">
        <v>101</v>
      </c>
      <c r="L7" s="32"/>
      <c r="M7" s="32">
        <v>1</v>
      </c>
      <c r="N7" s="31" t="s">
        <v>22</v>
      </c>
      <c r="O7" s="31" t="s">
        <v>22</v>
      </c>
      <c r="P7" s="53" t="s">
        <v>39</v>
      </c>
      <c r="Q7" s="21" t="str">
        <f>IFERROR(VLOOKUP(August[[#This Row],[Drug Name]],'Data Options'!$R$1:$S$100,2,FALSE), " ")</f>
        <v>Tetracyclines</v>
      </c>
      <c r="R7" s="32" t="s">
        <v>92</v>
      </c>
      <c r="S7" s="32" t="s">
        <v>89</v>
      </c>
      <c r="T7" s="53"/>
      <c r="U7" s="21" t="str">
        <f>IFERROR(VLOOKUP(August[[#This Row],[Drug Name2]],'Data Options'!$R$1:$S$100,2,FALSE), " ")</f>
        <v xml:space="preserve"> </v>
      </c>
      <c r="V7" s="32"/>
      <c r="W7" s="32"/>
      <c r="X7" s="53"/>
      <c r="Y7" s="21" t="str">
        <f>IFERROR(VLOOKUP(August[[#This Row],[Drug Name3]],'Data Options'!$R$1:$S$100,2,FALSE), " ")</f>
        <v xml:space="preserve"> </v>
      </c>
      <c r="Z7" s="32"/>
      <c r="AA7" s="32"/>
      <c r="AB7" s="32"/>
      <c r="AC7" s="32"/>
      <c r="AD7" s="32"/>
      <c r="AE7" s="31"/>
      <c r="AF7" s="31"/>
      <c r="AG7" s="53"/>
      <c r="AH7" s="21" t="str">
        <f>IFERROR(VLOOKUP(August[[#This Row],[Drug Name4]],'Data Options'!$R$1:$S$100,2,FALSE), " ")</f>
        <v xml:space="preserve"> </v>
      </c>
      <c r="AI7" s="32"/>
      <c r="AJ7" s="32"/>
      <c r="AK7" s="53"/>
      <c r="AL7" s="21" t="str">
        <f>IFERROR(VLOOKUP(August[[#This Row],[Drug Name5]],'Data Options'!$R$1:$S$100,2,FALSE), " ")</f>
        <v xml:space="preserve"> </v>
      </c>
      <c r="AM7" s="32"/>
      <c r="AN7" s="32"/>
      <c r="AO7" s="53"/>
      <c r="AP7" s="21" t="str">
        <f>IFERROR(VLOOKUP(August[[#This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21" t="str">
        <f>IFERROR(VLOOKUP(August[[#This Row],[Drug Name7]],'Data Options'!$R$1:$S$100,2,FALSE), " ")</f>
        <v xml:space="preserve"> </v>
      </c>
      <c r="AZ7" s="32"/>
      <c r="BA7" s="32"/>
      <c r="BB7" s="53"/>
      <c r="BC7" s="21" t="str">
        <f>IFERROR(VLOOKUP(August[[#This Row],[Drug Name8]],'Data Options'!$R$1:$S$100,2,FALSE), " ")</f>
        <v xml:space="preserve"> </v>
      </c>
      <c r="BD7" s="32"/>
      <c r="BE7" s="32"/>
      <c r="BF7" s="53"/>
      <c r="BG7" s="21" t="str">
        <f>IFERROR(VLOOKUP(August[[#This Row],[Drug Name9]],'Data Options'!$R$1:$S$100,2,FALSE), " ")</f>
        <v xml:space="preserve"> </v>
      </c>
      <c r="BH7" s="32"/>
      <c r="BI7" s="32"/>
    </row>
    <row r="8" spans="1:61">
      <c r="A8" s="51">
        <v>44048</v>
      </c>
      <c r="B8" s="52" t="s">
        <v>317</v>
      </c>
      <c r="C8" s="32">
        <v>20075</v>
      </c>
      <c r="D8" s="32" t="s">
        <v>13</v>
      </c>
      <c r="E8" s="32" t="s">
        <v>15</v>
      </c>
      <c r="F8" s="32" t="s">
        <v>219</v>
      </c>
      <c r="G8" s="32" t="s">
        <v>18</v>
      </c>
      <c r="H8" s="32"/>
      <c r="I8" s="32" t="s">
        <v>23</v>
      </c>
      <c r="J8" s="32">
        <v>0</v>
      </c>
      <c r="K8" s="32" t="s">
        <v>100</v>
      </c>
      <c r="L8" s="32"/>
      <c r="M8" s="32"/>
      <c r="N8" s="31"/>
      <c r="O8" s="31"/>
      <c r="P8" s="53"/>
      <c r="Q8" s="21" t="str">
        <f>IFERROR(VLOOKUP(August[[#This Row],[Drug Name]],'Data Options'!$R$1:$S$100,2,FALSE), " ")</f>
        <v xml:space="preserve"> </v>
      </c>
      <c r="R8" s="32"/>
      <c r="S8" s="32"/>
      <c r="T8" s="53"/>
      <c r="U8" s="21" t="str">
        <f>IFERROR(VLOOKUP(August[[#This Row],[Drug Name2]],'Data Options'!$R$1:$S$100,2,FALSE), " ")</f>
        <v xml:space="preserve"> </v>
      </c>
      <c r="V8" s="32"/>
      <c r="W8" s="32"/>
      <c r="X8" s="53"/>
      <c r="Y8" s="21" t="str">
        <f>IFERROR(VLOOKUP(August[[#This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21" t="str">
        <f>IFERROR(VLOOKUP(August[[#This Row],[Drug Name4]],'Data Options'!$R$1:$S$100,2,FALSE), " ")</f>
        <v xml:space="preserve"> </v>
      </c>
      <c r="AI8" s="32"/>
      <c r="AJ8" s="32"/>
      <c r="AK8" s="53"/>
      <c r="AL8" s="21" t="str">
        <f>IFERROR(VLOOKUP(August[[#This Row],[Drug Name5]],'Data Options'!$R$1:$S$100,2,FALSE), " ")</f>
        <v xml:space="preserve"> </v>
      </c>
      <c r="AM8" s="32"/>
      <c r="AN8" s="32"/>
      <c r="AO8" s="53"/>
      <c r="AP8" s="21" t="str">
        <f>IFERROR(VLOOKUP(August[[#This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21" t="str">
        <f>IFERROR(VLOOKUP(August[[#This Row],[Drug Name7]],'Data Options'!$R$1:$S$100,2,FALSE), " ")</f>
        <v xml:space="preserve"> </v>
      </c>
      <c r="AZ8" s="32"/>
      <c r="BA8" s="32"/>
      <c r="BB8" s="53"/>
      <c r="BC8" s="21" t="str">
        <f>IFERROR(VLOOKUP(August[[#This Row],[Drug Name8]],'Data Options'!$R$1:$S$100,2,FALSE), " ")</f>
        <v xml:space="preserve"> </v>
      </c>
      <c r="BD8" s="32"/>
      <c r="BE8" s="32"/>
      <c r="BF8" s="53"/>
      <c r="BG8" s="21" t="str">
        <f>IFERROR(VLOOKUP(August[[#This Row],[Drug Name9]],'Data Options'!$R$1:$S$100,2,FALSE), " ")</f>
        <v xml:space="preserve"> </v>
      </c>
      <c r="BH8" s="32"/>
      <c r="BI8" s="32"/>
    </row>
    <row r="9" spans="1:61">
      <c r="A9" s="51">
        <v>44049</v>
      </c>
      <c r="B9" s="52" t="s">
        <v>317</v>
      </c>
      <c r="C9" s="32">
        <v>20076</v>
      </c>
      <c r="D9" s="32" t="s">
        <v>12</v>
      </c>
      <c r="E9" s="32" t="s">
        <v>15</v>
      </c>
      <c r="F9" s="32" t="s">
        <v>219</v>
      </c>
      <c r="G9" s="32" t="s">
        <v>18</v>
      </c>
      <c r="H9" s="32"/>
      <c r="I9" s="32" t="s">
        <v>23</v>
      </c>
      <c r="J9" s="32">
        <v>0</v>
      </c>
      <c r="K9" s="32" t="s">
        <v>21</v>
      </c>
      <c r="L9" s="32"/>
      <c r="M9" s="32"/>
      <c r="N9" s="31"/>
      <c r="O9" s="31"/>
      <c r="P9" s="53"/>
      <c r="Q9" s="21" t="str">
        <f>IFERROR(VLOOKUP(August[[#This Row],[Drug Name]],'Data Options'!$R$1:$S$100,2,FALSE), " ")</f>
        <v xml:space="preserve"> </v>
      </c>
      <c r="R9" s="32"/>
      <c r="S9" s="32"/>
      <c r="T9" s="53"/>
      <c r="U9" s="21" t="str">
        <f>IFERROR(VLOOKUP(August[[#This Row],[Drug Name2]],'Data Options'!$R$1:$S$100,2,FALSE), " ")</f>
        <v xml:space="preserve"> </v>
      </c>
      <c r="V9" s="32"/>
      <c r="W9" s="32"/>
      <c r="X9" s="53"/>
      <c r="Y9" s="21" t="str">
        <f>IFERROR(VLOOKUP(August[[#This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21" t="str">
        <f>IFERROR(VLOOKUP(August[[#This Row],[Drug Name4]],'Data Options'!$R$1:$S$100,2,FALSE), " ")</f>
        <v xml:space="preserve"> </v>
      </c>
      <c r="AI9" s="32"/>
      <c r="AJ9" s="32"/>
      <c r="AK9" s="53"/>
      <c r="AL9" s="21" t="str">
        <f>IFERROR(VLOOKUP(August[[#This Row],[Drug Name5]],'Data Options'!$R$1:$S$100,2,FALSE), " ")</f>
        <v xml:space="preserve"> </v>
      </c>
      <c r="AM9" s="32"/>
      <c r="AN9" s="32"/>
      <c r="AO9" s="53"/>
      <c r="AP9" s="21" t="str">
        <f>IFERROR(VLOOKUP(August[[#This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21" t="str">
        <f>IFERROR(VLOOKUP(August[[#This Row],[Drug Name7]],'Data Options'!$R$1:$S$100,2,FALSE), " ")</f>
        <v xml:space="preserve"> </v>
      </c>
      <c r="AZ9" s="32"/>
      <c r="BA9" s="32"/>
      <c r="BB9" s="53"/>
      <c r="BC9" s="21" t="str">
        <f>IFERROR(VLOOKUP(August[[#This Row],[Drug Name8]],'Data Options'!$R$1:$S$100,2,FALSE), " ")</f>
        <v xml:space="preserve"> </v>
      </c>
      <c r="BD9" s="32"/>
      <c r="BE9" s="32"/>
      <c r="BF9" s="53"/>
      <c r="BG9" s="21" t="str">
        <f>IFERROR(VLOOKUP(August[[#This Row],[Drug Name9]],'Data Options'!$R$1:$S$100,2,FALSE), " ")</f>
        <v xml:space="preserve"> </v>
      </c>
      <c r="BH9" s="32"/>
      <c r="BI9" s="32"/>
    </row>
    <row r="10" spans="1:61" ht="46.5">
      <c r="A10" s="51">
        <v>44050</v>
      </c>
      <c r="B10" s="52" t="s">
        <v>317</v>
      </c>
      <c r="C10" s="32">
        <v>20077</v>
      </c>
      <c r="D10" s="32" t="s">
        <v>13</v>
      </c>
      <c r="E10" s="32" t="s">
        <v>17</v>
      </c>
      <c r="F10" s="32" t="s">
        <v>218</v>
      </c>
      <c r="G10" s="32" t="s">
        <v>19</v>
      </c>
      <c r="H10" s="32"/>
      <c r="I10" s="32" t="s">
        <v>22</v>
      </c>
      <c r="J10" s="32">
        <v>1</v>
      </c>
      <c r="K10" s="32" t="s">
        <v>276</v>
      </c>
      <c r="L10" s="32"/>
      <c r="M10" s="32">
        <v>1</v>
      </c>
      <c r="N10" s="31" t="s">
        <v>22</v>
      </c>
      <c r="O10" s="31" t="s">
        <v>22</v>
      </c>
      <c r="P10" s="53" t="s">
        <v>141</v>
      </c>
      <c r="Q10" s="21" t="str">
        <f>IFERROR(VLOOKUP(August[[#This Row],[Drug Name]],'Data Options'!$R$1:$S$100,2,FALSE), " ")</f>
        <v>Sulfonamides/Folate pathway inhibitors</v>
      </c>
      <c r="R10" s="32" t="s">
        <v>92</v>
      </c>
      <c r="S10" s="32" t="s">
        <v>89</v>
      </c>
      <c r="T10" s="53"/>
      <c r="U10" s="21" t="str">
        <f>IFERROR(VLOOKUP(August[[#This Row],[Drug Name2]],'Data Options'!$R$1:$S$100,2,FALSE), " ")</f>
        <v xml:space="preserve"> </v>
      </c>
      <c r="V10" s="32"/>
      <c r="W10" s="32"/>
      <c r="X10" s="53"/>
      <c r="Y10" s="21" t="str">
        <f>IFERROR(VLOOKUP(August[[#This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21" t="str">
        <f>IFERROR(VLOOKUP(August[[#This Row],[Drug Name4]],'Data Options'!$R$1:$S$100,2,FALSE), " ")</f>
        <v xml:space="preserve"> </v>
      </c>
      <c r="AI10" s="32"/>
      <c r="AJ10" s="32"/>
      <c r="AK10" s="53"/>
      <c r="AL10" s="21" t="str">
        <f>IFERROR(VLOOKUP(August[[#This Row],[Drug Name5]],'Data Options'!$R$1:$S$100,2,FALSE), " ")</f>
        <v xml:space="preserve"> </v>
      </c>
      <c r="AM10" s="32"/>
      <c r="AN10" s="32"/>
      <c r="AO10" s="53"/>
      <c r="AP10" s="21" t="str">
        <f>IFERROR(VLOOKUP(August[[#This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21" t="str">
        <f>IFERROR(VLOOKUP(August[[#This Row],[Drug Name7]],'Data Options'!$R$1:$S$100,2,FALSE), " ")</f>
        <v xml:space="preserve"> </v>
      </c>
      <c r="AZ10" s="32"/>
      <c r="BA10" s="32"/>
      <c r="BB10" s="53"/>
      <c r="BC10" s="21" t="str">
        <f>IFERROR(VLOOKUP(August[[#This Row],[Drug Name8]],'Data Options'!$R$1:$S$100,2,FALSE), " ")</f>
        <v xml:space="preserve"> </v>
      </c>
      <c r="BD10" s="32"/>
      <c r="BE10" s="32"/>
      <c r="BF10" s="53"/>
      <c r="BG10" s="21" t="str">
        <f>IFERROR(VLOOKUP(August[[#This Row],[Drug Name9]],'Data Options'!$R$1:$S$100,2,FALSE), " ")</f>
        <v xml:space="preserve"> </v>
      </c>
      <c r="BH10" s="32"/>
      <c r="BI10" s="32"/>
    </row>
    <row r="11" spans="1:61">
      <c r="A11" s="51">
        <v>44051</v>
      </c>
      <c r="B11" s="52" t="s">
        <v>317</v>
      </c>
      <c r="C11" s="32">
        <v>20078</v>
      </c>
      <c r="D11" s="32" t="s">
        <v>12</v>
      </c>
      <c r="E11" s="32" t="s">
        <v>15</v>
      </c>
      <c r="F11" s="32" t="s">
        <v>220</v>
      </c>
      <c r="G11" s="32" t="s">
        <v>20</v>
      </c>
      <c r="H11" s="32"/>
      <c r="I11" s="32" t="s">
        <v>247</v>
      </c>
      <c r="J11" s="32">
        <v>0</v>
      </c>
      <c r="K11" s="32" t="s">
        <v>102</v>
      </c>
      <c r="L11" s="32"/>
      <c r="M11" s="32"/>
      <c r="N11" s="31"/>
      <c r="O11" s="31"/>
      <c r="P11" s="53"/>
      <c r="Q11" s="21" t="str">
        <f>IFERROR(VLOOKUP(August[[#This Row],[Drug Name]],'Data Options'!$R$1:$S$100,2,FALSE), " ")</f>
        <v xml:space="preserve"> </v>
      </c>
      <c r="R11" s="32"/>
      <c r="S11" s="32"/>
      <c r="T11" s="53"/>
      <c r="U11" s="21" t="str">
        <f>IFERROR(VLOOKUP(August[[#This Row],[Drug Name2]],'Data Options'!$R$1:$S$100,2,FALSE), " ")</f>
        <v xml:space="preserve"> </v>
      </c>
      <c r="V11" s="32"/>
      <c r="W11" s="32"/>
      <c r="X11" s="53"/>
      <c r="Y11" s="21" t="str">
        <f>IFERROR(VLOOKUP(August[[#This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21" t="str">
        <f>IFERROR(VLOOKUP(August[[#This Row],[Drug Name4]],'Data Options'!$R$1:$S$100,2,FALSE), " ")</f>
        <v xml:space="preserve"> </v>
      </c>
      <c r="AI11" s="32"/>
      <c r="AJ11" s="32"/>
      <c r="AK11" s="53"/>
      <c r="AL11" s="21" t="str">
        <f>IFERROR(VLOOKUP(August[[#This Row],[Drug Name5]],'Data Options'!$R$1:$S$100,2,FALSE), " ")</f>
        <v xml:space="preserve"> </v>
      </c>
      <c r="AM11" s="32"/>
      <c r="AN11" s="32"/>
      <c r="AO11" s="53"/>
      <c r="AP11" s="21" t="str">
        <f>IFERROR(VLOOKUP(August[[#This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21" t="str">
        <f>IFERROR(VLOOKUP(August[[#This Row],[Drug Name7]],'Data Options'!$R$1:$S$100,2,FALSE), " ")</f>
        <v xml:space="preserve"> </v>
      </c>
      <c r="AZ11" s="32"/>
      <c r="BA11" s="32"/>
      <c r="BB11" s="53"/>
      <c r="BC11" s="21" t="str">
        <f>IFERROR(VLOOKUP(August[[#This Row],[Drug Name8]],'Data Options'!$R$1:$S$100,2,FALSE), " ")</f>
        <v xml:space="preserve"> </v>
      </c>
      <c r="BD11" s="32"/>
      <c r="BE11" s="32"/>
      <c r="BF11" s="53"/>
      <c r="BG11" s="21" t="str">
        <f>IFERROR(VLOOKUP(August[[#This Row],[Drug Name9]],'Data Options'!$R$1:$S$100,2,FALSE), " ")</f>
        <v xml:space="preserve"> </v>
      </c>
      <c r="BH11" s="32"/>
      <c r="BI11" s="32"/>
    </row>
    <row r="12" spans="1:61">
      <c r="A12" s="51">
        <v>44052</v>
      </c>
      <c r="B12" s="52" t="s">
        <v>317</v>
      </c>
      <c r="C12" s="32">
        <v>20079</v>
      </c>
      <c r="D12" s="32" t="s">
        <v>13</v>
      </c>
      <c r="E12" s="32" t="s">
        <v>15</v>
      </c>
      <c r="F12" s="32" t="s">
        <v>220</v>
      </c>
      <c r="G12" s="32" t="s">
        <v>20</v>
      </c>
      <c r="H12" s="32"/>
      <c r="I12" s="32" t="s">
        <v>247</v>
      </c>
      <c r="J12" s="32">
        <v>0</v>
      </c>
      <c r="K12" s="32" t="s">
        <v>277</v>
      </c>
      <c r="L12" s="32"/>
      <c r="M12" s="32"/>
      <c r="N12" s="31"/>
      <c r="O12" s="31"/>
      <c r="P12" s="53"/>
      <c r="Q12" s="21" t="str">
        <f>IFERROR(VLOOKUP(August[[#This Row],[Drug Name]],'Data Options'!$R$1:$S$100,2,FALSE), " ")</f>
        <v xml:space="preserve"> </v>
      </c>
      <c r="R12" s="32"/>
      <c r="S12" s="32"/>
      <c r="T12" s="53"/>
      <c r="U12" s="21" t="str">
        <f>IFERROR(VLOOKUP(August[[#This Row],[Drug Name2]],'Data Options'!$R$1:$S$100,2,FALSE), " ")</f>
        <v xml:space="preserve"> </v>
      </c>
      <c r="V12" s="32"/>
      <c r="W12" s="32"/>
      <c r="X12" s="53"/>
      <c r="Y12" s="21" t="str">
        <f>IFERROR(VLOOKUP(August[[#This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21" t="str">
        <f>IFERROR(VLOOKUP(August[[#This Row],[Drug Name4]],'Data Options'!$R$1:$S$100,2,FALSE), " ")</f>
        <v xml:space="preserve"> </v>
      </c>
      <c r="AI12" s="32"/>
      <c r="AJ12" s="32"/>
      <c r="AK12" s="53"/>
      <c r="AL12" s="21" t="str">
        <f>IFERROR(VLOOKUP(August[[#This Row],[Drug Name5]],'Data Options'!$R$1:$S$100,2,FALSE), " ")</f>
        <v xml:space="preserve"> </v>
      </c>
      <c r="AM12" s="32"/>
      <c r="AN12" s="32"/>
      <c r="AO12" s="53"/>
      <c r="AP12" s="21" t="str">
        <f>IFERROR(VLOOKUP(August[[#This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21" t="str">
        <f>IFERROR(VLOOKUP(August[[#This Row],[Drug Name7]],'Data Options'!$R$1:$S$100,2,FALSE), " ")</f>
        <v xml:space="preserve"> </v>
      </c>
      <c r="AZ12" s="32"/>
      <c r="BA12" s="32"/>
      <c r="BB12" s="53"/>
      <c r="BC12" s="21" t="str">
        <f>IFERROR(VLOOKUP(August[[#This Row],[Drug Name8]],'Data Options'!$R$1:$S$100,2,FALSE), " ")</f>
        <v xml:space="preserve"> </v>
      </c>
      <c r="BD12" s="32"/>
      <c r="BE12" s="32"/>
      <c r="BF12" s="53"/>
      <c r="BG12" s="21" t="str">
        <f>IFERROR(VLOOKUP(August[[#This Row],[Drug Name9]],'Data Options'!$R$1:$S$100,2,FALSE), " ")</f>
        <v xml:space="preserve"> </v>
      </c>
      <c r="BH12" s="32"/>
      <c r="BI12" s="32"/>
    </row>
    <row r="13" spans="1:61">
      <c r="A13" s="51">
        <v>44053</v>
      </c>
      <c r="B13" s="52" t="s">
        <v>317</v>
      </c>
      <c r="C13" s="32">
        <v>20080</v>
      </c>
      <c r="D13" s="32" t="s">
        <v>13</v>
      </c>
      <c r="E13" s="32" t="s">
        <v>17</v>
      </c>
      <c r="F13" s="32" t="s">
        <v>221</v>
      </c>
      <c r="G13" s="32" t="s">
        <v>18</v>
      </c>
      <c r="H13" s="32"/>
      <c r="I13" s="32" t="s">
        <v>23</v>
      </c>
      <c r="J13" s="32">
        <v>0</v>
      </c>
      <c r="K13" s="32" t="s">
        <v>100</v>
      </c>
      <c r="L13" s="32"/>
      <c r="M13" s="32"/>
      <c r="N13" s="31"/>
      <c r="O13" s="31"/>
      <c r="P13" s="53"/>
      <c r="Q13" s="21" t="str">
        <f>IFERROR(VLOOKUP(August[[#This Row],[Drug Name]],'Data Options'!$R$1:$S$100,2,FALSE), " ")</f>
        <v xml:space="preserve"> </v>
      </c>
      <c r="R13" s="32"/>
      <c r="S13" s="32"/>
      <c r="T13" s="53"/>
      <c r="U13" s="21" t="str">
        <f>IFERROR(VLOOKUP(August[[#This Row],[Drug Name2]],'Data Options'!$R$1:$S$100,2,FALSE), " ")</f>
        <v xml:space="preserve"> </v>
      </c>
      <c r="V13" s="32"/>
      <c r="W13" s="32"/>
      <c r="X13" s="53"/>
      <c r="Y13" s="21" t="str">
        <f>IFERROR(VLOOKUP(August[[#This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21" t="str">
        <f>IFERROR(VLOOKUP(August[[#This Row],[Drug Name4]],'Data Options'!$R$1:$S$100,2,FALSE), " ")</f>
        <v xml:space="preserve"> </v>
      </c>
      <c r="AI13" s="32"/>
      <c r="AJ13" s="32"/>
      <c r="AK13" s="53"/>
      <c r="AL13" s="21" t="str">
        <f>IFERROR(VLOOKUP(August[[#This Row],[Drug Name5]],'Data Options'!$R$1:$S$100,2,FALSE), " ")</f>
        <v xml:space="preserve"> </v>
      </c>
      <c r="AM13" s="32"/>
      <c r="AN13" s="32"/>
      <c r="AO13" s="53"/>
      <c r="AP13" s="21" t="str">
        <f>IFERROR(VLOOKUP(August[[#This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21" t="str">
        <f>IFERROR(VLOOKUP(August[[#This Row],[Drug Name7]],'Data Options'!$R$1:$S$100,2,FALSE), " ")</f>
        <v xml:space="preserve"> </v>
      </c>
      <c r="AZ13" s="32"/>
      <c r="BA13" s="32"/>
      <c r="BB13" s="53"/>
      <c r="BC13" s="21" t="str">
        <f>IFERROR(VLOOKUP(August[[#This Row],[Drug Name8]],'Data Options'!$R$1:$S$100,2,FALSE), " ")</f>
        <v xml:space="preserve"> </v>
      </c>
      <c r="BD13" s="32"/>
      <c r="BE13" s="32"/>
      <c r="BF13" s="53"/>
      <c r="BG13" s="21" t="str">
        <f>IFERROR(VLOOKUP(August[[#This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21" t="str">
        <f>IFERROR(VLOOKUP(August[[#This Row],[Drug Name]],'Data Options'!$R$1:$S$100,2,FALSE), " ")</f>
        <v xml:space="preserve"> </v>
      </c>
      <c r="R14" s="32"/>
      <c r="S14" s="32"/>
      <c r="T14" s="53"/>
      <c r="U14" s="21" t="str">
        <f>IFERROR(VLOOKUP(August[[#This Row],[Drug Name2]],'Data Options'!$R$1:$S$100,2,FALSE), " ")</f>
        <v xml:space="preserve"> </v>
      </c>
      <c r="V14" s="32"/>
      <c r="W14" s="32"/>
      <c r="X14" s="53"/>
      <c r="Y14" s="21" t="str">
        <f>IFERROR(VLOOKUP(August[[#This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21" t="str">
        <f>IFERROR(VLOOKUP(August[[#This Row],[Drug Name4]],'Data Options'!$R$1:$S$100,2,FALSE), " ")</f>
        <v xml:space="preserve"> </v>
      </c>
      <c r="AI14" s="32"/>
      <c r="AJ14" s="32"/>
      <c r="AK14" s="53"/>
      <c r="AL14" s="21" t="str">
        <f>IFERROR(VLOOKUP(August[[#This Row],[Drug Name5]],'Data Options'!$R$1:$S$100,2,FALSE), " ")</f>
        <v xml:space="preserve"> </v>
      </c>
      <c r="AM14" s="32"/>
      <c r="AN14" s="32"/>
      <c r="AO14" s="53"/>
      <c r="AP14" s="21" t="str">
        <f>IFERROR(VLOOKUP(August[[#This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21" t="str">
        <f>IFERROR(VLOOKUP(August[[#This Row],[Drug Name7]],'Data Options'!$R$1:$S$100,2,FALSE), " ")</f>
        <v xml:space="preserve"> </v>
      </c>
      <c r="AZ14" s="32"/>
      <c r="BA14" s="32"/>
      <c r="BB14" s="53"/>
      <c r="BC14" s="21" t="str">
        <f>IFERROR(VLOOKUP(August[[#This Row],[Drug Name8]],'Data Options'!$R$1:$S$100,2,FALSE), " ")</f>
        <v xml:space="preserve"> </v>
      </c>
      <c r="BD14" s="32"/>
      <c r="BE14" s="32"/>
      <c r="BF14" s="53"/>
      <c r="BG14" s="21" t="str">
        <f>IFERROR(VLOOKUP(August[[#This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21" t="str">
        <f>IFERROR(VLOOKUP(August[[#This Row],[Drug Name]],'Data Options'!$R$1:$S$100,2,FALSE), " ")</f>
        <v xml:space="preserve"> </v>
      </c>
      <c r="R15" s="32"/>
      <c r="S15" s="32"/>
      <c r="T15" s="53"/>
      <c r="U15" s="21" t="str">
        <f>IFERROR(VLOOKUP(August[[#This Row],[Drug Name2]],'Data Options'!$R$1:$S$100,2,FALSE), " ")</f>
        <v xml:space="preserve"> </v>
      </c>
      <c r="V15" s="32"/>
      <c r="W15" s="32"/>
      <c r="X15" s="53"/>
      <c r="Y15" s="21" t="str">
        <f>IFERROR(VLOOKUP(August[[#This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21" t="str">
        <f>IFERROR(VLOOKUP(August[[#This Row],[Drug Name4]],'Data Options'!$R$1:$S$100,2,FALSE), " ")</f>
        <v xml:space="preserve"> </v>
      </c>
      <c r="AI15" s="32"/>
      <c r="AJ15" s="32"/>
      <c r="AK15" s="53"/>
      <c r="AL15" s="21" t="str">
        <f>IFERROR(VLOOKUP(August[[#This Row],[Drug Name5]],'Data Options'!$R$1:$S$100,2,FALSE), " ")</f>
        <v xml:space="preserve"> </v>
      </c>
      <c r="AM15" s="32"/>
      <c r="AN15" s="32"/>
      <c r="AO15" s="53"/>
      <c r="AP15" s="21" t="str">
        <f>IFERROR(VLOOKUP(August[[#This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21" t="str">
        <f>IFERROR(VLOOKUP(August[[#This Row],[Drug Name7]],'Data Options'!$R$1:$S$100,2,FALSE), " ")</f>
        <v xml:space="preserve"> </v>
      </c>
      <c r="AZ15" s="32"/>
      <c r="BA15" s="32"/>
      <c r="BB15" s="53"/>
      <c r="BC15" s="21" t="str">
        <f>IFERROR(VLOOKUP(August[[#This Row],[Drug Name8]],'Data Options'!$R$1:$S$100,2,FALSE), " ")</f>
        <v xml:space="preserve"> </v>
      </c>
      <c r="BD15" s="32"/>
      <c r="BE15" s="32"/>
      <c r="BF15" s="53"/>
      <c r="BG15" s="21" t="str">
        <f>IFERROR(VLOOKUP(August[[#This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21" t="str">
        <f>IFERROR(VLOOKUP(August[[#This Row],[Drug Name]],'Data Options'!$R$1:$S$100,2,FALSE), " ")</f>
        <v xml:space="preserve"> </v>
      </c>
      <c r="R16" s="32"/>
      <c r="S16" s="32"/>
      <c r="T16" s="53"/>
      <c r="U16" s="21" t="str">
        <f>IFERROR(VLOOKUP(August[[#This Row],[Drug Name2]],'Data Options'!$R$1:$S$100,2,FALSE), " ")</f>
        <v xml:space="preserve"> </v>
      </c>
      <c r="V16" s="32"/>
      <c r="W16" s="32"/>
      <c r="X16" s="53"/>
      <c r="Y16" s="21" t="str">
        <f>IFERROR(VLOOKUP(August[[#This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21" t="str">
        <f>IFERROR(VLOOKUP(August[[#This Row],[Drug Name4]],'Data Options'!$R$1:$S$100,2,FALSE), " ")</f>
        <v xml:space="preserve"> </v>
      </c>
      <c r="AI16" s="32"/>
      <c r="AJ16" s="32"/>
      <c r="AK16" s="53"/>
      <c r="AL16" s="21" t="str">
        <f>IFERROR(VLOOKUP(August[[#This Row],[Drug Name5]],'Data Options'!$R$1:$S$100,2,FALSE), " ")</f>
        <v xml:space="preserve"> </v>
      </c>
      <c r="AM16" s="32"/>
      <c r="AN16" s="32"/>
      <c r="AO16" s="53"/>
      <c r="AP16" s="21" t="str">
        <f>IFERROR(VLOOKUP(August[[#This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21" t="str">
        <f>IFERROR(VLOOKUP(August[[#This Row],[Drug Name7]],'Data Options'!$R$1:$S$100,2,FALSE), " ")</f>
        <v xml:space="preserve"> </v>
      </c>
      <c r="AZ16" s="32"/>
      <c r="BA16" s="32"/>
      <c r="BB16" s="53"/>
      <c r="BC16" s="21" t="str">
        <f>IFERROR(VLOOKUP(August[[#This Row],[Drug Name8]],'Data Options'!$R$1:$S$100,2,FALSE), " ")</f>
        <v xml:space="preserve"> </v>
      </c>
      <c r="BD16" s="32"/>
      <c r="BE16" s="32"/>
      <c r="BF16" s="53"/>
      <c r="BG16" s="21" t="str">
        <f>IFERROR(VLOOKUP(August[[#This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21" t="str">
        <f>IFERROR(VLOOKUP(August[[#This Row],[Drug Name]],'Data Options'!$R$1:$S$100,2,FALSE), " ")</f>
        <v xml:space="preserve"> </v>
      </c>
      <c r="R17" s="32"/>
      <c r="S17" s="32"/>
      <c r="T17" s="53"/>
      <c r="U17" s="21" t="str">
        <f>IFERROR(VLOOKUP(August[[#This Row],[Drug Name2]],'Data Options'!$R$1:$S$100,2,FALSE), " ")</f>
        <v xml:space="preserve"> </v>
      </c>
      <c r="V17" s="32"/>
      <c r="W17" s="32"/>
      <c r="X17" s="53"/>
      <c r="Y17" s="21" t="str">
        <f>IFERROR(VLOOKUP(August[[#This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21" t="str">
        <f>IFERROR(VLOOKUP(August[[#This Row],[Drug Name4]],'Data Options'!$R$1:$S$100,2,FALSE), " ")</f>
        <v xml:space="preserve"> </v>
      </c>
      <c r="AI17" s="32"/>
      <c r="AJ17" s="32"/>
      <c r="AK17" s="53"/>
      <c r="AL17" s="21" t="str">
        <f>IFERROR(VLOOKUP(August[[#This Row],[Drug Name5]],'Data Options'!$R$1:$S$100,2,FALSE), " ")</f>
        <v xml:space="preserve"> </v>
      </c>
      <c r="AM17" s="32"/>
      <c r="AN17" s="32"/>
      <c r="AO17" s="53"/>
      <c r="AP17" s="21" t="str">
        <f>IFERROR(VLOOKUP(August[[#This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21" t="str">
        <f>IFERROR(VLOOKUP(August[[#This Row],[Drug Name7]],'Data Options'!$R$1:$S$100,2,FALSE), " ")</f>
        <v xml:space="preserve"> </v>
      </c>
      <c r="AZ17" s="32"/>
      <c r="BA17" s="32"/>
      <c r="BB17" s="53"/>
      <c r="BC17" s="21" t="str">
        <f>IFERROR(VLOOKUP(August[[#This Row],[Drug Name8]],'Data Options'!$R$1:$S$100,2,FALSE), " ")</f>
        <v xml:space="preserve"> </v>
      </c>
      <c r="BD17" s="32"/>
      <c r="BE17" s="32"/>
      <c r="BF17" s="53"/>
      <c r="BG17" s="21" t="str">
        <f>IFERROR(VLOOKUP(August[[#This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21" t="str">
        <f>IFERROR(VLOOKUP(August[[#This Row],[Drug Name]],'Data Options'!$R$1:$S$100,2,FALSE), " ")</f>
        <v xml:space="preserve"> </v>
      </c>
      <c r="R18" s="32"/>
      <c r="S18" s="32"/>
      <c r="T18" s="53"/>
      <c r="U18" s="21" t="str">
        <f>IFERROR(VLOOKUP(August[[#This Row],[Drug Name2]],'Data Options'!$R$1:$S$100,2,FALSE), " ")</f>
        <v xml:space="preserve"> </v>
      </c>
      <c r="V18" s="32"/>
      <c r="W18" s="32"/>
      <c r="X18" s="53"/>
      <c r="Y18" s="21" t="str">
        <f>IFERROR(VLOOKUP(August[[#This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21" t="str">
        <f>IFERROR(VLOOKUP(August[[#This Row],[Drug Name4]],'Data Options'!$R$1:$S$100,2,FALSE), " ")</f>
        <v xml:space="preserve"> </v>
      </c>
      <c r="AI18" s="32"/>
      <c r="AJ18" s="32"/>
      <c r="AK18" s="53"/>
      <c r="AL18" s="21" t="str">
        <f>IFERROR(VLOOKUP(August[[#This Row],[Drug Name5]],'Data Options'!$R$1:$S$100,2,FALSE), " ")</f>
        <v xml:space="preserve"> </v>
      </c>
      <c r="AM18" s="32"/>
      <c r="AN18" s="32"/>
      <c r="AO18" s="53"/>
      <c r="AP18" s="21" t="str">
        <f>IFERROR(VLOOKUP(August[[#This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21" t="str">
        <f>IFERROR(VLOOKUP(August[[#This Row],[Drug Name7]],'Data Options'!$R$1:$S$100,2,FALSE), " ")</f>
        <v xml:space="preserve"> </v>
      </c>
      <c r="AZ18" s="32"/>
      <c r="BA18" s="32"/>
      <c r="BB18" s="53"/>
      <c r="BC18" s="21" t="str">
        <f>IFERROR(VLOOKUP(August[[#This Row],[Drug Name8]],'Data Options'!$R$1:$S$100,2,FALSE), " ")</f>
        <v xml:space="preserve"> </v>
      </c>
      <c r="BD18" s="32"/>
      <c r="BE18" s="32"/>
      <c r="BF18" s="53"/>
      <c r="BG18" s="21" t="str">
        <f>IFERROR(VLOOKUP(August[[#This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21" t="str">
        <f>IFERROR(VLOOKUP(August[[#This Row],[Drug Name]],'Data Options'!$R$1:$S$100,2,FALSE), " ")</f>
        <v xml:space="preserve"> </v>
      </c>
      <c r="R19" s="32"/>
      <c r="S19" s="32"/>
      <c r="T19" s="53"/>
      <c r="U19" s="21" t="str">
        <f>IFERROR(VLOOKUP(August[[#This Row],[Drug Name2]],'Data Options'!$R$1:$S$100,2,FALSE), " ")</f>
        <v xml:space="preserve"> </v>
      </c>
      <c r="V19" s="32"/>
      <c r="W19" s="32"/>
      <c r="X19" s="53"/>
      <c r="Y19" s="21" t="str">
        <f>IFERROR(VLOOKUP(August[[#This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21" t="str">
        <f>IFERROR(VLOOKUP(August[[#This Row],[Drug Name4]],'Data Options'!$R$1:$S$100,2,FALSE), " ")</f>
        <v xml:space="preserve"> </v>
      </c>
      <c r="AI19" s="32"/>
      <c r="AJ19" s="32"/>
      <c r="AK19" s="53"/>
      <c r="AL19" s="21" t="str">
        <f>IFERROR(VLOOKUP(August[[#This Row],[Drug Name5]],'Data Options'!$R$1:$S$100,2,FALSE), " ")</f>
        <v xml:space="preserve"> </v>
      </c>
      <c r="AM19" s="32"/>
      <c r="AN19" s="32"/>
      <c r="AO19" s="53"/>
      <c r="AP19" s="21" t="str">
        <f>IFERROR(VLOOKUP(August[[#This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21" t="str">
        <f>IFERROR(VLOOKUP(August[[#This Row],[Drug Name7]],'Data Options'!$R$1:$S$100,2,FALSE), " ")</f>
        <v xml:space="preserve"> </v>
      </c>
      <c r="AZ19" s="32"/>
      <c r="BA19" s="32"/>
      <c r="BB19" s="53"/>
      <c r="BC19" s="21" t="str">
        <f>IFERROR(VLOOKUP(August[[#This Row],[Drug Name8]],'Data Options'!$R$1:$S$100,2,FALSE), " ")</f>
        <v xml:space="preserve"> </v>
      </c>
      <c r="BD19" s="32"/>
      <c r="BE19" s="32"/>
      <c r="BF19" s="53"/>
      <c r="BG19" s="21" t="str">
        <f>IFERROR(VLOOKUP(August[[#This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21" t="str">
        <f>IFERROR(VLOOKUP(August[[#This Row],[Drug Name]],'Data Options'!$R$1:$S$100,2,FALSE), " ")</f>
        <v xml:space="preserve"> </v>
      </c>
      <c r="R20" s="32"/>
      <c r="S20" s="32"/>
      <c r="T20" s="53"/>
      <c r="U20" s="21" t="str">
        <f>IFERROR(VLOOKUP(August[[#This Row],[Drug Name2]],'Data Options'!$R$1:$S$100,2,FALSE), " ")</f>
        <v xml:space="preserve"> </v>
      </c>
      <c r="V20" s="32"/>
      <c r="W20" s="32"/>
      <c r="X20" s="53"/>
      <c r="Y20" s="21" t="str">
        <f>IFERROR(VLOOKUP(August[[#This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21" t="str">
        <f>IFERROR(VLOOKUP(August[[#This Row],[Drug Name4]],'Data Options'!$R$1:$S$100,2,FALSE), " ")</f>
        <v xml:space="preserve"> </v>
      </c>
      <c r="AI20" s="32"/>
      <c r="AJ20" s="32"/>
      <c r="AK20" s="53"/>
      <c r="AL20" s="21" t="str">
        <f>IFERROR(VLOOKUP(August[[#This Row],[Drug Name5]],'Data Options'!$R$1:$S$100,2,FALSE), " ")</f>
        <v xml:space="preserve"> </v>
      </c>
      <c r="AM20" s="32"/>
      <c r="AN20" s="32"/>
      <c r="AO20" s="53"/>
      <c r="AP20" s="21" t="str">
        <f>IFERROR(VLOOKUP(August[[#This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21" t="str">
        <f>IFERROR(VLOOKUP(August[[#This Row],[Drug Name7]],'Data Options'!$R$1:$S$100,2,FALSE), " ")</f>
        <v xml:space="preserve"> </v>
      </c>
      <c r="AZ20" s="32"/>
      <c r="BA20" s="32"/>
      <c r="BB20" s="53"/>
      <c r="BC20" s="21" t="str">
        <f>IFERROR(VLOOKUP(August[[#This Row],[Drug Name8]],'Data Options'!$R$1:$S$100,2,FALSE), " ")</f>
        <v xml:space="preserve"> </v>
      </c>
      <c r="BD20" s="32"/>
      <c r="BE20" s="32"/>
      <c r="BF20" s="53"/>
      <c r="BG20" s="21" t="str">
        <f>IFERROR(VLOOKUP(August[[#This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21" t="str">
        <f>IFERROR(VLOOKUP(August[[#This Row],[Drug Name]],'Data Options'!$R$1:$S$100,2,FALSE), " ")</f>
        <v xml:space="preserve"> </v>
      </c>
      <c r="R21" s="32"/>
      <c r="S21" s="32"/>
      <c r="T21" s="53"/>
      <c r="U21" s="21" t="str">
        <f>IFERROR(VLOOKUP(August[[#This Row],[Drug Name2]],'Data Options'!$R$1:$S$100,2,FALSE), " ")</f>
        <v xml:space="preserve"> </v>
      </c>
      <c r="V21" s="32"/>
      <c r="W21" s="32"/>
      <c r="X21" s="53"/>
      <c r="Y21" s="21" t="str">
        <f>IFERROR(VLOOKUP(August[[#This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21" t="str">
        <f>IFERROR(VLOOKUP(August[[#This Row],[Drug Name4]],'Data Options'!$R$1:$S$100,2,FALSE), " ")</f>
        <v xml:space="preserve"> </v>
      </c>
      <c r="AI21" s="32"/>
      <c r="AJ21" s="32"/>
      <c r="AK21" s="53"/>
      <c r="AL21" s="21" t="str">
        <f>IFERROR(VLOOKUP(August[[#This Row],[Drug Name5]],'Data Options'!$R$1:$S$100,2,FALSE), " ")</f>
        <v xml:space="preserve"> </v>
      </c>
      <c r="AM21" s="32"/>
      <c r="AN21" s="32"/>
      <c r="AO21" s="53"/>
      <c r="AP21" s="21" t="str">
        <f>IFERROR(VLOOKUP(August[[#This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21" t="str">
        <f>IFERROR(VLOOKUP(August[[#This Row],[Drug Name7]],'Data Options'!$R$1:$S$100,2,FALSE), " ")</f>
        <v xml:space="preserve"> </v>
      </c>
      <c r="AZ21" s="32"/>
      <c r="BA21" s="32"/>
      <c r="BB21" s="53"/>
      <c r="BC21" s="21" t="str">
        <f>IFERROR(VLOOKUP(August[[#This Row],[Drug Name8]],'Data Options'!$R$1:$S$100,2,FALSE), " ")</f>
        <v xml:space="preserve"> </v>
      </c>
      <c r="BD21" s="32"/>
      <c r="BE21" s="32"/>
      <c r="BF21" s="53"/>
      <c r="BG21" s="21" t="str">
        <f>IFERROR(VLOOKUP(August[[#This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21" t="str">
        <f>IFERROR(VLOOKUP(August[[#This Row],[Drug Name]],'Data Options'!$R$1:$S$100,2,FALSE), " ")</f>
        <v xml:space="preserve"> </v>
      </c>
      <c r="R22" s="32"/>
      <c r="S22" s="32"/>
      <c r="T22" s="53"/>
      <c r="U22" s="21" t="str">
        <f>IFERROR(VLOOKUP(August[[#This Row],[Drug Name2]],'Data Options'!$R$1:$S$100,2,FALSE), " ")</f>
        <v xml:space="preserve"> </v>
      </c>
      <c r="V22" s="32"/>
      <c r="W22" s="32"/>
      <c r="X22" s="53"/>
      <c r="Y22" s="21" t="str">
        <f>IFERROR(VLOOKUP(August[[#This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21" t="str">
        <f>IFERROR(VLOOKUP(August[[#This Row],[Drug Name4]],'Data Options'!$R$1:$S$100,2,FALSE), " ")</f>
        <v xml:space="preserve"> </v>
      </c>
      <c r="AI22" s="32"/>
      <c r="AJ22" s="32"/>
      <c r="AK22" s="53"/>
      <c r="AL22" s="21" t="str">
        <f>IFERROR(VLOOKUP(August[[#This Row],[Drug Name5]],'Data Options'!$R$1:$S$100,2,FALSE), " ")</f>
        <v xml:space="preserve"> </v>
      </c>
      <c r="AM22" s="32"/>
      <c r="AN22" s="32"/>
      <c r="AO22" s="53"/>
      <c r="AP22" s="21" t="str">
        <f>IFERROR(VLOOKUP(August[[#This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21" t="str">
        <f>IFERROR(VLOOKUP(August[[#This Row],[Drug Name7]],'Data Options'!$R$1:$S$100,2,FALSE), " ")</f>
        <v xml:space="preserve"> </v>
      </c>
      <c r="AZ22" s="32"/>
      <c r="BA22" s="32"/>
      <c r="BB22" s="53"/>
      <c r="BC22" s="21" t="str">
        <f>IFERROR(VLOOKUP(August[[#This Row],[Drug Name8]],'Data Options'!$R$1:$S$100,2,FALSE), " ")</f>
        <v xml:space="preserve"> </v>
      </c>
      <c r="BD22" s="32"/>
      <c r="BE22" s="32"/>
      <c r="BF22" s="53"/>
      <c r="BG22" s="21" t="str">
        <f>IFERROR(VLOOKUP(August[[#This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21" t="str">
        <f>IFERROR(VLOOKUP(August[[#This Row],[Drug Name]],'Data Options'!$R$1:$S$100,2,FALSE), " ")</f>
        <v xml:space="preserve"> </v>
      </c>
      <c r="R23" s="32"/>
      <c r="S23" s="32"/>
      <c r="T23" s="53"/>
      <c r="U23" s="21" t="str">
        <f>IFERROR(VLOOKUP(August[[#This Row],[Drug Name2]],'Data Options'!$R$1:$S$100,2,FALSE), " ")</f>
        <v xml:space="preserve"> </v>
      </c>
      <c r="V23" s="32"/>
      <c r="W23" s="32"/>
      <c r="X23" s="53"/>
      <c r="Y23" s="21" t="str">
        <f>IFERROR(VLOOKUP(August[[#This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21" t="str">
        <f>IFERROR(VLOOKUP(August[[#This Row],[Drug Name4]],'Data Options'!$R$1:$S$100,2,FALSE), " ")</f>
        <v xml:space="preserve"> </v>
      </c>
      <c r="AI23" s="32"/>
      <c r="AJ23" s="32"/>
      <c r="AK23" s="53"/>
      <c r="AL23" s="21" t="str">
        <f>IFERROR(VLOOKUP(August[[#This Row],[Drug Name5]],'Data Options'!$R$1:$S$100,2,FALSE), " ")</f>
        <v xml:space="preserve"> </v>
      </c>
      <c r="AM23" s="32"/>
      <c r="AN23" s="32"/>
      <c r="AO23" s="53"/>
      <c r="AP23" s="21" t="str">
        <f>IFERROR(VLOOKUP(August[[#This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21" t="str">
        <f>IFERROR(VLOOKUP(August[[#This Row],[Drug Name7]],'Data Options'!$R$1:$S$100,2,FALSE), " ")</f>
        <v xml:space="preserve"> </v>
      </c>
      <c r="AZ23" s="32"/>
      <c r="BA23" s="32"/>
      <c r="BB23" s="53"/>
      <c r="BC23" s="21" t="str">
        <f>IFERROR(VLOOKUP(August[[#This Row],[Drug Name8]],'Data Options'!$R$1:$S$100,2,FALSE), " ")</f>
        <v xml:space="preserve"> </v>
      </c>
      <c r="BD23" s="32"/>
      <c r="BE23" s="32"/>
      <c r="BF23" s="53"/>
      <c r="BG23" s="21" t="str">
        <f>IFERROR(VLOOKUP(August[[#This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21" t="str">
        <f>IFERROR(VLOOKUP(August[[#This Row],[Drug Name]],'Data Options'!$R$1:$S$100,2,FALSE), " ")</f>
        <v xml:space="preserve"> </v>
      </c>
      <c r="R24" s="32"/>
      <c r="S24" s="32"/>
      <c r="T24" s="53"/>
      <c r="U24" s="21" t="str">
        <f>IFERROR(VLOOKUP(August[[#This Row],[Drug Name2]],'Data Options'!$R$1:$S$100,2,FALSE), " ")</f>
        <v xml:space="preserve"> </v>
      </c>
      <c r="V24" s="32"/>
      <c r="W24" s="32"/>
      <c r="X24" s="53"/>
      <c r="Y24" s="21" t="str">
        <f>IFERROR(VLOOKUP(August[[#This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21" t="str">
        <f>IFERROR(VLOOKUP(August[[#This Row],[Drug Name4]],'Data Options'!$R$1:$S$100,2,FALSE), " ")</f>
        <v xml:space="preserve"> </v>
      </c>
      <c r="AI24" s="32"/>
      <c r="AJ24" s="32"/>
      <c r="AK24" s="53"/>
      <c r="AL24" s="21" t="str">
        <f>IFERROR(VLOOKUP(August[[#This Row],[Drug Name5]],'Data Options'!$R$1:$S$100,2,FALSE), " ")</f>
        <v xml:space="preserve"> </v>
      </c>
      <c r="AM24" s="32"/>
      <c r="AN24" s="32"/>
      <c r="AO24" s="53"/>
      <c r="AP24" s="21" t="str">
        <f>IFERROR(VLOOKUP(August[[#This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21" t="str">
        <f>IFERROR(VLOOKUP(August[[#This Row],[Drug Name7]],'Data Options'!$R$1:$S$100,2,FALSE), " ")</f>
        <v xml:space="preserve"> </v>
      </c>
      <c r="AZ24" s="32"/>
      <c r="BA24" s="32"/>
      <c r="BB24" s="53"/>
      <c r="BC24" s="21" t="str">
        <f>IFERROR(VLOOKUP(August[[#This Row],[Drug Name8]],'Data Options'!$R$1:$S$100,2,FALSE), " ")</f>
        <v xml:space="preserve"> </v>
      </c>
      <c r="BD24" s="32"/>
      <c r="BE24" s="32"/>
      <c r="BF24" s="53"/>
      <c r="BG24" s="21" t="str">
        <f>IFERROR(VLOOKUP(August[[#This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21" t="str">
        <f>IFERROR(VLOOKUP(August[[#This Row],[Drug Name]],'Data Options'!$R$1:$S$100,2,FALSE), " ")</f>
        <v xml:space="preserve"> </v>
      </c>
      <c r="R25" s="32"/>
      <c r="S25" s="32"/>
      <c r="T25" s="53"/>
      <c r="U25" s="21" t="str">
        <f>IFERROR(VLOOKUP(August[[#This Row],[Drug Name2]],'Data Options'!$R$1:$S$100,2,FALSE), " ")</f>
        <v xml:space="preserve"> </v>
      </c>
      <c r="V25" s="32"/>
      <c r="W25" s="32"/>
      <c r="X25" s="53"/>
      <c r="Y25" s="21" t="str">
        <f>IFERROR(VLOOKUP(August[[#This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21" t="str">
        <f>IFERROR(VLOOKUP(August[[#This Row],[Drug Name4]],'Data Options'!$R$1:$S$100,2,FALSE), " ")</f>
        <v xml:space="preserve"> </v>
      </c>
      <c r="AI25" s="32"/>
      <c r="AJ25" s="32"/>
      <c r="AK25" s="53"/>
      <c r="AL25" s="21" t="str">
        <f>IFERROR(VLOOKUP(August[[#This Row],[Drug Name5]],'Data Options'!$R$1:$S$100,2,FALSE), " ")</f>
        <v xml:space="preserve"> </v>
      </c>
      <c r="AM25" s="32"/>
      <c r="AN25" s="32"/>
      <c r="AO25" s="53"/>
      <c r="AP25" s="21" t="str">
        <f>IFERROR(VLOOKUP(August[[#This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21" t="str">
        <f>IFERROR(VLOOKUP(August[[#This Row],[Drug Name7]],'Data Options'!$R$1:$S$100,2,FALSE), " ")</f>
        <v xml:space="preserve"> </v>
      </c>
      <c r="AZ25" s="32"/>
      <c r="BA25" s="32"/>
      <c r="BB25" s="53"/>
      <c r="BC25" s="21" t="str">
        <f>IFERROR(VLOOKUP(August[[#This Row],[Drug Name8]],'Data Options'!$R$1:$S$100,2,FALSE), " ")</f>
        <v xml:space="preserve"> </v>
      </c>
      <c r="BD25" s="32"/>
      <c r="BE25" s="32"/>
      <c r="BF25" s="53"/>
      <c r="BG25" s="21" t="str">
        <f>IFERROR(VLOOKUP(August[[#This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21" t="str">
        <f>IFERROR(VLOOKUP(August[[#This Row],[Drug Name]],'Data Options'!$R$1:$S$100,2,FALSE), " ")</f>
        <v xml:space="preserve"> </v>
      </c>
      <c r="R26" s="32"/>
      <c r="S26" s="32"/>
      <c r="T26" s="53"/>
      <c r="U26" s="21" t="str">
        <f>IFERROR(VLOOKUP(August[[#This Row],[Drug Name2]],'Data Options'!$R$1:$S$100,2,FALSE), " ")</f>
        <v xml:space="preserve"> </v>
      </c>
      <c r="V26" s="32"/>
      <c r="W26" s="32"/>
      <c r="X26" s="53"/>
      <c r="Y26" s="21" t="str">
        <f>IFERROR(VLOOKUP(August[[#This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21" t="str">
        <f>IFERROR(VLOOKUP(August[[#This Row],[Drug Name4]],'Data Options'!$R$1:$S$100,2,FALSE), " ")</f>
        <v xml:space="preserve"> </v>
      </c>
      <c r="AI26" s="32"/>
      <c r="AJ26" s="32"/>
      <c r="AK26" s="53"/>
      <c r="AL26" s="21" t="str">
        <f>IFERROR(VLOOKUP(August[[#This Row],[Drug Name5]],'Data Options'!$R$1:$S$100,2,FALSE), " ")</f>
        <v xml:space="preserve"> </v>
      </c>
      <c r="AM26" s="32"/>
      <c r="AN26" s="32"/>
      <c r="AO26" s="53"/>
      <c r="AP26" s="21" t="str">
        <f>IFERROR(VLOOKUP(August[[#This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21" t="str">
        <f>IFERROR(VLOOKUP(August[[#This Row],[Drug Name7]],'Data Options'!$R$1:$S$100,2,FALSE), " ")</f>
        <v xml:space="preserve"> </v>
      </c>
      <c r="AZ26" s="32"/>
      <c r="BA26" s="32"/>
      <c r="BB26" s="53"/>
      <c r="BC26" s="21" t="str">
        <f>IFERROR(VLOOKUP(August[[#This Row],[Drug Name8]],'Data Options'!$R$1:$S$100,2,FALSE), " ")</f>
        <v xml:space="preserve"> </v>
      </c>
      <c r="BD26" s="32"/>
      <c r="BE26" s="32"/>
      <c r="BF26" s="53"/>
      <c r="BG26" s="21" t="str">
        <f>IFERROR(VLOOKUP(August[[#This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21" t="str">
        <f>IFERROR(VLOOKUP(August[[#This Row],[Drug Name]],'Data Options'!$R$1:$S$100,2,FALSE), " ")</f>
        <v xml:space="preserve"> </v>
      </c>
      <c r="R27" s="32"/>
      <c r="S27" s="32"/>
      <c r="T27" s="53"/>
      <c r="U27" s="21" t="str">
        <f>IFERROR(VLOOKUP(August[[#This Row],[Drug Name2]],'Data Options'!$R$1:$S$100,2,FALSE), " ")</f>
        <v xml:space="preserve"> </v>
      </c>
      <c r="V27" s="32"/>
      <c r="W27" s="32"/>
      <c r="X27" s="53"/>
      <c r="Y27" s="21" t="str">
        <f>IFERROR(VLOOKUP(August[[#This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21" t="str">
        <f>IFERROR(VLOOKUP(August[[#This Row],[Drug Name4]],'Data Options'!$R$1:$S$100,2,FALSE), " ")</f>
        <v xml:space="preserve"> </v>
      </c>
      <c r="AI27" s="32"/>
      <c r="AJ27" s="32"/>
      <c r="AK27" s="53"/>
      <c r="AL27" s="21" t="str">
        <f>IFERROR(VLOOKUP(August[[#This Row],[Drug Name5]],'Data Options'!$R$1:$S$100,2,FALSE), " ")</f>
        <v xml:space="preserve"> </v>
      </c>
      <c r="AM27" s="32"/>
      <c r="AN27" s="32"/>
      <c r="AO27" s="53"/>
      <c r="AP27" s="21" t="str">
        <f>IFERROR(VLOOKUP(August[[#This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21" t="str">
        <f>IFERROR(VLOOKUP(August[[#This Row],[Drug Name7]],'Data Options'!$R$1:$S$100,2,FALSE), " ")</f>
        <v xml:space="preserve"> </v>
      </c>
      <c r="AZ27" s="32"/>
      <c r="BA27" s="32"/>
      <c r="BB27" s="53"/>
      <c r="BC27" s="21" t="str">
        <f>IFERROR(VLOOKUP(August[[#This Row],[Drug Name8]],'Data Options'!$R$1:$S$100,2,FALSE), " ")</f>
        <v xml:space="preserve"> </v>
      </c>
      <c r="BD27" s="32"/>
      <c r="BE27" s="32"/>
      <c r="BF27" s="53"/>
      <c r="BG27" s="21" t="str">
        <f>IFERROR(VLOOKUP(August[[#This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21" t="str">
        <f>IFERROR(VLOOKUP(August[[#This Row],[Drug Name]],'Data Options'!$R$1:$S$100,2,FALSE), " ")</f>
        <v xml:space="preserve"> </v>
      </c>
      <c r="R28" s="32"/>
      <c r="S28" s="32"/>
      <c r="T28" s="53"/>
      <c r="U28" s="21" t="str">
        <f>IFERROR(VLOOKUP(August[[#This Row],[Drug Name2]],'Data Options'!$R$1:$S$100,2,FALSE), " ")</f>
        <v xml:space="preserve"> </v>
      </c>
      <c r="V28" s="32"/>
      <c r="W28" s="32"/>
      <c r="X28" s="53"/>
      <c r="Y28" s="21" t="str">
        <f>IFERROR(VLOOKUP(August[[#This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21" t="str">
        <f>IFERROR(VLOOKUP(August[[#This Row],[Drug Name4]],'Data Options'!$R$1:$S$100,2,FALSE), " ")</f>
        <v xml:space="preserve"> </v>
      </c>
      <c r="AI28" s="32"/>
      <c r="AJ28" s="32"/>
      <c r="AK28" s="53"/>
      <c r="AL28" s="21" t="str">
        <f>IFERROR(VLOOKUP(August[[#This Row],[Drug Name5]],'Data Options'!$R$1:$S$100,2,FALSE), " ")</f>
        <v xml:space="preserve"> </v>
      </c>
      <c r="AM28" s="32"/>
      <c r="AN28" s="32"/>
      <c r="AO28" s="53"/>
      <c r="AP28" s="21" t="str">
        <f>IFERROR(VLOOKUP(August[[#This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21" t="str">
        <f>IFERROR(VLOOKUP(August[[#This Row],[Drug Name7]],'Data Options'!$R$1:$S$100,2,FALSE), " ")</f>
        <v xml:space="preserve"> </v>
      </c>
      <c r="AZ28" s="32"/>
      <c r="BA28" s="32"/>
      <c r="BB28" s="53"/>
      <c r="BC28" s="21" t="str">
        <f>IFERROR(VLOOKUP(August[[#This Row],[Drug Name8]],'Data Options'!$R$1:$S$100,2,FALSE), " ")</f>
        <v xml:space="preserve"> </v>
      </c>
      <c r="BD28" s="32"/>
      <c r="BE28" s="32"/>
      <c r="BF28" s="53"/>
      <c r="BG28" s="21" t="str">
        <f>IFERROR(VLOOKUP(August[[#This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21" t="str">
        <f>IFERROR(VLOOKUP(August[[#This Row],[Drug Name]],'Data Options'!$R$1:$S$100,2,FALSE), " ")</f>
        <v xml:space="preserve"> </v>
      </c>
      <c r="R29" s="32"/>
      <c r="S29" s="32"/>
      <c r="T29" s="53"/>
      <c r="U29" s="21" t="str">
        <f>IFERROR(VLOOKUP(August[[#This Row],[Drug Name2]],'Data Options'!$R$1:$S$100,2,FALSE), " ")</f>
        <v xml:space="preserve"> </v>
      </c>
      <c r="V29" s="32"/>
      <c r="W29" s="32"/>
      <c r="X29" s="53"/>
      <c r="Y29" s="21" t="str">
        <f>IFERROR(VLOOKUP(August[[#This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21" t="str">
        <f>IFERROR(VLOOKUP(August[[#This Row],[Drug Name4]],'Data Options'!$R$1:$S$100,2,FALSE), " ")</f>
        <v xml:space="preserve"> </v>
      </c>
      <c r="AI29" s="32"/>
      <c r="AJ29" s="32"/>
      <c r="AK29" s="53"/>
      <c r="AL29" s="21" t="str">
        <f>IFERROR(VLOOKUP(August[[#This Row],[Drug Name5]],'Data Options'!$R$1:$S$100,2,FALSE), " ")</f>
        <v xml:space="preserve"> </v>
      </c>
      <c r="AM29" s="32"/>
      <c r="AN29" s="32"/>
      <c r="AO29" s="53"/>
      <c r="AP29" s="21" t="str">
        <f>IFERROR(VLOOKUP(August[[#This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21" t="str">
        <f>IFERROR(VLOOKUP(August[[#This Row],[Drug Name7]],'Data Options'!$R$1:$S$100,2,FALSE), " ")</f>
        <v xml:space="preserve"> </v>
      </c>
      <c r="AZ29" s="32"/>
      <c r="BA29" s="32"/>
      <c r="BB29" s="53"/>
      <c r="BC29" s="21" t="str">
        <f>IFERROR(VLOOKUP(August[[#This Row],[Drug Name8]],'Data Options'!$R$1:$S$100,2,FALSE), " ")</f>
        <v xml:space="preserve"> </v>
      </c>
      <c r="BD29" s="32"/>
      <c r="BE29" s="32"/>
      <c r="BF29" s="53"/>
      <c r="BG29" s="21" t="str">
        <f>IFERROR(VLOOKUP(August[[#This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21" t="str">
        <f>IFERROR(VLOOKUP(August[[#This Row],[Drug Name]],'Data Options'!$R$1:$S$100,2,FALSE), " ")</f>
        <v xml:space="preserve"> </v>
      </c>
      <c r="R30" s="32"/>
      <c r="S30" s="32"/>
      <c r="T30" s="53"/>
      <c r="U30" s="21" t="str">
        <f>IFERROR(VLOOKUP(August[[#This Row],[Drug Name2]],'Data Options'!$R$1:$S$100,2,FALSE), " ")</f>
        <v xml:space="preserve"> </v>
      </c>
      <c r="V30" s="32"/>
      <c r="W30" s="32"/>
      <c r="X30" s="53"/>
      <c r="Y30" s="21" t="str">
        <f>IFERROR(VLOOKUP(August[[#This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21" t="str">
        <f>IFERROR(VLOOKUP(August[[#This Row],[Drug Name4]],'Data Options'!$R$1:$S$100,2,FALSE), " ")</f>
        <v xml:space="preserve"> </v>
      </c>
      <c r="AI30" s="32"/>
      <c r="AJ30" s="32"/>
      <c r="AK30" s="53"/>
      <c r="AL30" s="21" t="str">
        <f>IFERROR(VLOOKUP(August[[#This Row],[Drug Name5]],'Data Options'!$R$1:$S$100,2,FALSE), " ")</f>
        <v xml:space="preserve"> </v>
      </c>
      <c r="AM30" s="32"/>
      <c r="AN30" s="32"/>
      <c r="AO30" s="53"/>
      <c r="AP30" s="21" t="str">
        <f>IFERROR(VLOOKUP(August[[#This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21" t="str">
        <f>IFERROR(VLOOKUP(August[[#This Row],[Drug Name7]],'Data Options'!$R$1:$S$100,2,FALSE), " ")</f>
        <v xml:space="preserve"> </v>
      </c>
      <c r="AZ30" s="32"/>
      <c r="BA30" s="32"/>
      <c r="BB30" s="53"/>
      <c r="BC30" s="21" t="str">
        <f>IFERROR(VLOOKUP(August[[#This Row],[Drug Name8]],'Data Options'!$R$1:$S$100,2,FALSE), " ")</f>
        <v xml:space="preserve"> </v>
      </c>
      <c r="BD30" s="32"/>
      <c r="BE30" s="32"/>
      <c r="BF30" s="53"/>
      <c r="BG30" s="21" t="str">
        <f>IFERROR(VLOOKUP(August[[#This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21" t="str">
        <f>IFERROR(VLOOKUP(August[[#This Row],[Drug Name]],'Data Options'!$R$1:$S$100,2,FALSE), " ")</f>
        <v xml:space="preserve"> </v>
      </c>
      <c r="R31" s="32"/>
      <c r="S31" s="32"/>
      <c r="T31" s="53"/>
      <c r="U31" s="21" t="str">
        <f>IFERROR(VLOOKUP(August[[#This Row],[Drug Name2]],'Data Options'!$R$1:$S$100,2,FALSE), " ")</f>
        <v xml:space="preserve"> </v>
      </c>
      <c r="V31" s="32"/>
      <c r="W31" s="32"/>
      <c r="X31" s="53"/>
      <c r="Y31" s="21" t="str">
        <f>IFERROR(VLOOKUP(August[[#This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21" t="str">
        <f>IFERROR(VLOOKUP(August[[#This Row],[Drug Name4]],'Data Options'!$R$1:$S$100,2,FALSE), " ")</f>
        <v xml:space="preserve"> </v>
      </c>
      <c r="AI31" s="32"/>
      <c r="AJ31" s="32"/>
      <c r="AK31" s="53"/>
      <c r="AL31" s="21" t="str">
        <f>IFERROR(VLOOKUP(August[[#This Row],[Drug Name5]],'Data Options'!$R$1:$S$100,2,FALSE), " ")</f>
        <v xml:space="preserve"> </v>
      </c>
      <c r="AM31" s="32"/>
      <c r="AN31" s="32"/>
      <c r="AO31" s="53"/>
      <c r="AP31" s="21" t="str">
        <f>IFERROR(VLOOKUP(August[[#This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21" t="str">
        <f>IFERROR(VLOOKUP(August[[#This Row],[Drug Name7]],'Data Options'!$R$1:$S$100,2,FALSE), " ")</f>
        <v xml:space="preserve"> </v>
      </c>
      <c r="AZ31" s="32"/>
      <c r="BA31" s="32"/>
      <c r="BB31" s="53"/>
      <c r="BC31" s="21" t="str">
        <f>IFERROR(VLOOKUP(August[[#This Row],[Drug Name8]],'Data Options'!$R$1:$S$100,2,FALSE), " ")</f>
        <v xml:space="preserve"> </v>
      </c>
      <c r="BD31" s="32"/>
      <c r="BE31" s="32"/>
      <c r="BF31" s="53"/>
      <c r="BG31" s="21" t="str">
        <f>IFERROR(VLOOKUP(August[[#This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21" t="str">
        <f>IFERROR(VLOOKUP(August[[#This Row],[Drug Name]],'Data Options'!$R$1:$S$100,2,FALSE), " ")</f>
        <v xml:space="preserve"> </v>
      </c>
      <c r="R32" s="32"/>
      <c r="S32" s="32"/>
      <c r="T32" s="53"/>
      <c r="U32" s="21" t="str">
        <f>IFERROR(VLOOKUP(August[[#This Row],[Drug Name2]],'Data Options'!$R$1:$S$100,2,FALSE), " ")</f>
        <v xml:space="preserve"> </v>
      </c>
      <c r="V32" s="32"/>
      <c r="W32" s="32"/>
      <c r="X32" s="53"/>
      <c r="Y32" s="21" t="str">
        <f>IFERROR(VLOOKUP(August[[#This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21" t="str">
        <f>IFERROR(VLOOKUP(August[[#This Row],[Drug Name4]],'Data Options'!$R$1:$S$100,2,FALSE), " ")</f>
        <v xml:space="preserve"> </v>
      </c>
      <c r="AI32" s="32"/>
      <c r="AJ32" s="32"/>
      <c r="AK32" s="53"/>
      <c r="AL32" s="21" t="str">
        <f>IFERROR(VLOOKUP(August[[#This Row],[Drug Name5]],'Data Options'!$R$1:$S$100,2,FALSE), " ")</f>
        <v xml:space="preserve"> </v>
      </c>
      <c r="AM32" s="32"/>
      <c r="AN32" s="32"/>
      <c r="AO32" s="53"/>
      <c r="AP32" s="21" t="str">
        <f>IFERROR(VLOOKUP(August[[#This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21" t="str">
        <f>IFERROR(VLOOKUP(August[[#This Row],[Drug Name7]],'Data Options'!$R$1:$S$100,2,FALSE), " ")</f>
        <v xml:space="preserve"> </v>
      </c>
      <c r="AZ32" s="32"/>
      <c r="BA32" s="32"/>
      <c r="BB32" s="53"/>
      <c r="BC32" s="21" t="str">
        <f>IFERROR(VLOOKUP(August[[#This Row],[Drug Name8]],'Data Options'!$R$1:$S$100,2,FALSE), " ")</f>
        <v xml:space="preserve"> </v>
      </c>
      <c r="BD32" s="32"/>
      <c r="BE32" s="32"/>
      <c r="BF32" s="53"/>
      <c r="BG32" s="21" t="str">
        <f>IFERROR(VLOOKUP(August[[#This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21" t="str">
        <f>IFERROR(VLOOKUP(August[[#This Row],[Drug Name]],'Data Options'!$R$1:$S$100,2,FALSE), " ")</f>
        <v xml:space="preserve"> </v>
      </c>
      <c r="R33" s="32"/>
      <c r="S33" s="32"/>
      <c r="T33" s="53"/>
      <c r="U33" s="21" t="str">
        <f>IFERROR(VLOOKUP(August[[#This Row],[Drug Name2]],'Data Options'!$R$1:$S$100,2,FALSE), " ")</f>
        <v xml:space="preserve"> </v>
      </c>
      <c r="V33" s="32"/>
      <c r="W33" s="32"/>
      <c r="X33" s="53"/>
      <c r="Y33" s="21" t="str">
        <f>IFERROR(VLOOKUP(August[[#This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21" t="str">
        <f>IFERROR(VLOOKUP(August[[#This Row],[Drug Name4]],'Data Options'!$R$1:$S$100,2,FALSE), " ")</f>
        <v xml:space="preserve"> </v>
      </c>
      <c r="AI33" s="32"/>
      <c r="AJ33" s="32"/>
      <c r="AK33" s="53"/>
      <c r="AL33" s="21" t="str">
        <f>IFERROR(VLOOKUP(August[[#This Row],[Drug Name5]],'Data Options'!$R$1:$S$100,2,FALSE), " ")</f>
        <v xml:space="preserve"> </v>
      </c>
      <c r="AM33" s="32"/>
      <c r="AN33" s="32"/>
      <c r="AO33" s="53"/>
      <c r="AP33" s="21" t="str">
        <f>IFERROR(VLOOKUP(August[[#This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21" t="str">
        <f>IFERROR(VLOOKUP(August[[#This Row],[Drug Name7]],'Data Options'!$R$1:$S$100,2,FALSE), " ")</f>
        <v xml:space="preserve"> </v>
      </c>
      <c r="AZ33" s="32"/>
      <c r="BA33" s="32"/>
      <c r="BB33" s="53"/>
      <c r="BC33" s="21" t="str">
        <f>IFERROR(VLOOKUP(August[[#This Row],[Drug Name8]],'Data Options'!$R$1:$S$100,2,FALSE), " ")</f>
        <v xml:space="preserve"> </v>
      </c>
      <c r="BD33" s="32"/>
      <c r="BE33" s="32"/>
      <c r="BF33" s="53"/>
      <c r="BG33" s="21" t="str">
        <f>IFERROR(VLOOKUP(August[[#This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21" t="str">
        <f>IFERROR(VLOOKUP(August[[#This Row],[Drug Name]],'Data Options'!$R$1:$S$100,2,FALSE), " ")</f>
        <v xml:space="preserve"> </v>
      </c>
      <c r="R34" s="32"/>
      <c r="S34" s="32"/>
      <c r="T34" s="53"/>
      <c r="U34" s="21" t="str">
        <f>IFERROR(VLOOKUP(August[[#This Row],[Drug Name2]],'Data Options'!$R$1:$S$100,2,FALSE), " ")</f>
        <v xml:space="preserve"> </v>
      </c>
      <c r="V34" s="32"/>
      <c r="W34" s="32"/>
      <c r="X34" s="53"/>
      <c r="Y34" s="21" t="str">
        <f>IFERROR(VLOOKUP(August[[#This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21" t="str">
        <f>IFERROR(VLOOKUP(August[[#This Row],[Drug Name4]],'Data Options'!$R$1:$S$100,2,FALSE), " ")</f>
        <v xml:space="preserve"> </v>
      </c>
      <c r="AI34" s="32"/>
      <c r="AJ34" s="32"/>
      <c r="AK34" s="53"/>
      <c r="AL34" s="21" t="str">
        <f>IFERROR(VLOOKUP(August[[#This Row],[Drug Name5]],'Data Options'!$R$1:$S$100,2,FALSE), " ")</f>
        <v xml:space="preserve"> </v>
      </c>
      <c r="AM34" s="32"/>
      <c r="AN34" s="32"/>
      <c r="AO34" s="53"/>
      <c r="AP34" s="21" t="str">
        <f>IFERROR(VLOOKUP(August[[#This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21" t="str">
        <f>IFERROR(VLOOKUP(August[[#This Row],[Drug Name7]],'Data Options'!$R$1:$S$100,2,FALSE), " ")</f>
        <v xml:space="preserve"> </v>
      </c>
      <c r="AZ34" s="32"/>
      <c r="BA34" s="32"/>
      <c r="BB34" s="53"/>
      <c r="BC34" s="21" t="str">
        <f>IFERROR(VLOOKUP(August[[#This Row],[Drug Name8]],'Data Options'!$R$1:$S$100,2,FALSE), " ")</f>
        <v xml:space="preserve"> </v>
      </c>
      <c r="BD34" s="32"/>
      <c r="BE34" s="32"/>
      <c r="BF34" s="53"/>
      <c r="BG34" s="21" t="str">
        <f>IFERROR(VLOOKUP(August[[#This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21" t="str">
        <f>IFERROR(VLOOKUP(August[[#This Row],[Drug Name]],'Data Options'!$R$1:$S$100,2,FALSE), " ")</f>
        <v xml:space="preserve"> </v>
      </c>
      <c r="R35" s="32"/>
      <c r="S35" s="32"/>
      <c r="T35" s="53"/>
      <c r="U35" s="21" t="str">
        <f>IFERROR(VLOOKUP(August[[#This Row],[Drug Name2]],'Data Options'!$R$1:$S$100,2,FALSE), " ")</f>
        <v xml:space="preserve"> </v>
      </c>
      <c r="V35" s="32"/>
      <c r="W35" s="32"/>
      <c r="X35" s="53"/>
      <c r="Y35" s="21" t="str">
        <f>IFERROR(VLOOKUP(August[[#This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21" t="str">
        <f>IFERROR(VLOOKUP(August[[#This Row],[Drug Name4]],'Data Options'!$R$1:$S$100,2,FALSE), " ")</f>
        <v xml:space="preserve"> </v>
      </c>
      <c r="AI35" s="32"/>
      <c r="AJ35" s="32"/>
      <c r="AK35" s="53"/>
      <c r="AL35" s="21" t="str">
        <f>IFERROR(VLOOKUP(August[[#This Row],[Drug Name5]],'Data Options'!$R$1:$S$100,2,FALSE), " ")</f>
        <v xml:space="preserve"> </v>
      </c>
      <c r="AM35" s="32"/>
      <c r="AN35" s="32"/>
      <c r="AO35" s="53"/>
      <c r="AP35" s="21" t="str">
        <f>IFERROR(VLOOKUP(August[[#This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21" t="str">
        <f>IFERROR(VLOOKUP(August[[#This Row],[Drug Name7]],'Data Options'!$R$1:$S$100,2,FALSE), " ")</f>
        <v xml:space="preserve"> </v>
      </c>
      <c r="AZ35" s="32"/>
      <c r="BA35" s="32"/>
      <c r="BB35" s="53"/>
      <c r="BC35" s="21" t="str">
        <f>IFERROR(VLOOKUP(August[[#This Row],[Drug Name8]],'Data Options'!$R$1:$S$100,2,FALSE), " ")</f>
        <v xml:space="preserve"> </v>
      </c>
      <c r="BD35" s="32"/>
      <c r="BE35" s="32"/>
      <c r="BF35" s="53"/>
      <c r="BG35" s="21" t="str">
        <f>IFERROR(VLOOKUP(August[[#This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21" t="str">
        <f>IFERROR(VLOOKUP(August[[#This Row],[Drug Name]],'Data Options'!$R$1:$S$100,2,FALSE), " ")</f>
        <v xml:space="preserve"> </v>
      </c>
      <c r="R36" s="32"/>
      <c r="S36" s="32"/>
      <c r="T36" s="53"/>
      <c r="U36" s="21" t="str">
        <f>IFERROR(VLOOKUP(August[[#This Row],[Drug Name2]],'Data Options'!$R$1:$S$100,2,FALSE), " ")</f>
        <v xml:space="preserve"> </v>
      </c>
      <c r="V36" s="32"/>
      <c r="W36" s="32"/>
      <c r="X36" s="53"/>
      <c r="Y36" s="21" t="str">
        <f>IFERROR(VLOOKUP(August[[#This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21" t="str">
        <f>IFERROR(VLOOKUP(August[[#This Row],[Drug Name4]],'Data Options'!$R$1:$S$100,2,FALSE), " ")</f>
        <v xml:space="preserve"> </v>
      </c>
      <c r="AI36" s="32"/>
      <c r="AJ36" s="32"/>
      <c r="AK36" s="53"/>
      <c r="AL36" s="21" t="str">
        <f>IFERROR(VLOOKUP(August[[#This Row],[Drug Name5]],'Data Options'!$R$1:$S$100,2,FALSE), " ")</f>
        <v xml:space="preserve"> </v>
      </c>
      <c r="AM36" s="32"/>
      <c r="AN36" s="32"/>
      <c r="AO36" s="53"/>
      <c r="AP36" s="21" t="str">
        <f>IFERROR(VLOOKUP(August[[#This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21" t="str">
        <f>IFERROR(VLOOKUP(August[[#This Row],[Drug Name7]],'Data Options'!$R$1:$S$100,2,FALSE), " ")</f>
        <v xml:space="preserve"> </v>
      </c>
      <c r="AZ36" s="32"/>
      <c r="BA36" s="32"/>
      <c r="BB36" s="53"/>
      <c r="BC36" s="21" t="str">
        <f>IFERROR(VLOOKUP(August[[#This Row],[Drug Name8]],'Data Options'!$R$1:$S$100,2,FALSE), " ")</f>
        <v xml:space="preserve"> </v>
      </c>
      <c r="BD36" s="32"/>
      <c r="BE36" s="32"/>
      <c r="BF36" s="53"/>
      <c r="BG36" s="21" t="str">
        <f>IFERROR(VLOOKUP(August[[#This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21" t="str">
        <f>IFERROR(VLOOKUP(August[[#This Row],[Drug Name]],'Data Options'!$R$1:$S$100,2,FALSE), " ")</f>
        <v xml:space="preserve"> </v>
      </c>
      <c r="R37" s="32"/>
      <c r="S37" s="32"/>
      <c r="T37" s="53"/>
      <c r="U37" s="21" t="str">
        <f>IFERROR(VLOOKUP(August[[#This Row],[Drug Name2]],'Data Options'!$R$1:$S$100,2,FALSE), " ")</f>
        <v xml:space="preserve"> </v>
      </c>
      <c r="V37" s="32"/>
      <c r="W37" s="32"/>
      <c r="X37" s="53"/>
      <c r="Y37" s="21" t="str">
        <f>IFERROR(VLOOKUP(August[[#This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21" t="str">
        <f>IFERROR(VLOOKUP(August[[#This Row],[Drug Name4]],'Data Options'!$R$1:$S$100,2,FALSE), " ")</f>
        <v xml:space="preserve"> </v>
      </c>
      <c r="AI37" s="32"/>
      <c r="AJ37" s="32"/>
      <c r="AK37" s="53"/>
      <c r="AL37" s="21" t="str">
        <f>IFERROR(VLOOKUP(August[[#This Row],[Drug Name5]],'Data Options'!$R$1:$S$100,2,FALSE), " ")</f>
        <v xml:space="preserve"> </v>
      </c>
      <c r="AM37" s="32"/>
      <c r="AN37" s="32"/>
      <c r="AO37" s="53"/>
      <c r="AP37" s="21" t="str">
        <f>IFERROR(VLOOKUP(August[[#This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21" t="str">
        <f>IFERROR(VLOOKUP(August[[#This Row],[Drug Name7]],'Data Options'!$R$1:$S$100,2,FALSE), " ")</f>
        <v xml:space="preserve"> </v>
      </c>
      <c r="AZ37" s="32"/>
      <c r="BA37" s="32"/>
      <c r="BB37" s="53"/>
      <c r="BC37" s="21" t="str">
        <f>IFERROR(VLOOKUP(August[[#This Row],[Drug Name8]],'Data Options'!$R$1:$S$100,2,FALSE), " ")</f>
        <v xml:space="preserve"> </v>
      </c>
      <c r="BD37" s="32"/>
      <c r="BE37" s="32"/>
      <c r="BF37" s="53"/>
      <c r="BG37" s="21" t="str">
        <f>IFERROR(VLOOKUP(August[[#This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21" t="str">
        <f>IFERROR(VLOOKUP(August[[#This Row],[Drug Name]],'Data Options'!$R$1:$S$100,2,FALSE), " ")</f>
        <v xml:space="preserve"> </v>
      </c>
      <c r="R38" s="32"/>
      <c r="S38" s="32"/>
      <c r="T38" s="53"/>
      <c r="U38" s="21" t="str">
        <f>IFERROR(VLOOKUP(August[[#This Row],[Drug Name2]],'Data Options'!$R$1:$S$100,2,FALSE), " ")</f>
        <v xml:space="preserve"> </v>
      </c>
      <c r="V38" s="32"/>
      <c r="W38" s="32"/>
      <c r="X38" s="53"/>
      <c r="Y38" s="21" t="str">
        <f>IFERROR(VLOOKUP(August[[#This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21" t="str">
        <f>IFERROR(VLOOKUP(August[[#This Row],[Drug Name4]],'Data Options'!$R$1:$S$100,2,FALSE), " ")</f>
        <v xml:space="preserve"> </v>
      </c>
      <c r="AI38" s="32"/>
      <c r="AJ38" s="32"/>
      <c r="AK38" s="53"/>
      <c r="AL38" s="21" t="str">
        <f>IFERROR(VLOOKUP(August[[#This Row],[Drug Name5]],'Data Options'!$R$1:$S$100,2,FALSE), " ")</f>
        <v xml:space="preserve"> </v>
      </c>
      <c r="AM38" s="32"/>
      <c r="AN38" s="32"/>
      <c r="AO38" s="53"/>
      <c r="AP38" s="21" t="str">
        <f>IFERROR(VLOOKUP(August[[#This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21" t="str">
        <f>IFERROR(VLOOKUP(August[[#This Row],[Drug Name7]],'Data Options'!$R$1:$S$100,2,FALSE), " ")</f>
        <v xml:space="preserve"> </v>
      </c>
      <c r="AZ38" s="32"/>
      <c r="BA38" s="32"/>
      <c r="BB38" s="53"/>
      <c r="BC38" s="21" t="str">
        <f>IFERROR(VLOOKUP(August[[#This Row],[Drug Name8]],'Data Options'!$R$1:$S$100,2,FALSE), " ")</f>
        <v xml:space="preserve"> </v>
      </c>
      <c r="BD38" s="32"/>
      <c r="BE38" s="32"/>
      <c r="BF38" s="53"/>
      <c r="BG38" s="21" t="str">
        <f>IFERROR(VLOOKUP(August[[#This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21" t="str">
        <f>IFERROR(VLOOKUP(August[[#This Row],[Drug Name]],'Data Options'!$R$1:$S$100,2,FALSE), " ")</f>
        <v xml:space="preserve"> </v>
      </c>
      <c r="R39" s="32"/>
      <c r="S39" s="32"/>
      <c r="T39" s="53"/>
      <c r="U39" s="21" t="str">
        <f>IFERROR(VLOOKUP(August[[#This Row],[Drug Name2]],'Data Options'!$R$1:$S$100,2,FALSE), " ")</f>
        <v xml:space="preserve"> </v>
      </c>
      <c r="V39" s="32"/>
      <c r="W39" s="32"/>
      <c r="X39" s="53"/>
      <c r="Y39" s="21" t="str">
        <f>IFERROR(VLOOKUP(August[[#This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21" t="str">
        <f>IFERROR(VLOOKUP(August[[#This Row],[Drug Name4]],'Data Options'!$R$1:$S$100,2,FALSE), " ")</f>
        <v xml:space="preserve"> </v>
      </c>
      <c r="AI39" s="32"/>
      <c r="AJ39" s="32"/>
      <c r="AK39" s="53"/>
      <c r="AL39" s="21" t="str">
        <f>IFERROR(VLOOKUP(August[[#This Row],[Drug Name5]],'Data Options'!$R$1:$S$100,2,FALSE), " ")</f>
        <v xml:space="preserve"> </v>
      </c>
      <c r="AM39" s="32"/>
      <c r="AN39" s="32"/>
      <c r="AO39" s="53"/>
      <c r="AP39" s="21" t="str">
        <f>IFERROR(VLOOKUP(August[[#This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21" t="str">
        <f>IFERROR(VLOOKUP(August[[#This Row],[Drug Name7]],'Data Options'!$R$1:$S$100,2,FALSE), " ")</f>
        <v xml:space="preserve"> </v>
      </c>
      <c r="AZ39" s="32"/>
      <c r="BA39" s="32"/>
      <c r="BB39" s="53"/>
      <c r="BC39" s="21" t="str">
        <f>IFERROR(VLOOKUP(August[[#This Row],[Drug Name8]],'Data Options'!$R$1:$S$100,2,FALSE), " ")</f>
        <v xml:space="preserve"> </v>
      </c>
      <c r="BD39" s="32"/>
      <c r="BE39" s="32"/>
      <c r="BF39" s="53"/>
      <c r="BG39" s="21" t="str">
        <f>IFERROR(VLOOKUP(August[[#This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21" t="str">
        <f>IFERROR(VLOOKUP(August[[#This Row],[Drug Name]],'Data Options'!$R$1:$S$100,2,FALSE), " ")</f>
        <v xml:space="preserve"> </v>
      </c>
      <c r="R40" s="32"/>
      <c r="S40" s="32"/>
      <c r="T40" s="53"/>
      <c r="U40" s="21" t="str">
        <f>IFERROR(VLOOKUP(August[[#This Row],[Drug Name2]],'Data Options'!$R$1:$S$100,2,FALSE), " ")</f>
        <v xml:space="preserve"> </v>
      </c>
      <c r="V40" s="32"/>
      <c r="W40" s="32"/>
      <c r="X40" s="53"/>
      <c r="Y40" s="21" t="str">
        <f>IFERROR(VLOOKUP(August[[#This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21" t="str">
        <f>IFERROR(VLOOKUP(August[[#This Row],[Drug Name4]],'Data Options'!$R$1:$S$100,2,FALSE), " ")</f>
        <v xml:space="preserve"> </v>
      </c>
      <c r="AI40" s="32"/>
      <c r="AJ40" s="32"/>
      <c r="AK40" s="53"/>
      <c r="AL40" s="21" t="str">
        <f>IFERROR(VLOOKUP(August[[#This Row],[Drug Name5]],'Data Options'!$R$1:$S$100,2,FALSE), " ")</f>
        <v xml:space="preserve"> </v>
      </c>
      <c r="AM40" s="32"/>
      <c r="AN40" s="32"/>
      <c r="AO40" s="53"/>
      <c r="AP40" s="21" t="str">
        <f>IFERROR(VLOOKUP(August[[#This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21" t="str">
        <f>IFERROR(VLOOKUP(August[[#This Row],[Drug Name7]],'Data Options'!$R$1:$S$100,2,FALSE), " ")</f>
        <v xml:space="preserve"> </v>
      </c>
      <c r="AZ40" s="32"/>
      <c r="BA40" s="32"/>
      <c r="BB40" s="53"/>
      <c r="BC40" s="21" t="str">
        <f>IFERROR(VLOOKUP(August[[#This Row],[Drug Name8]],'Data Options'!$R$1:$S$100,2,FALSE), " ")</f>
        <v xml:space="preserve"> </v>
      </c>
      <c r="BD40" s="32"/>
      <c r="BE40" s="32"/>
      <c r="BF40" s="53"/>
      <c r="BG40" s="21" t="str">
        <f>IFERROR(VLOOKUP(August[[#This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21" t="str">
        <f>IFERROR(VLOOKUP(August[[#This Row],[Drug Name]],'Data Options'!$R$1:$S$100,2,FALSE), " ")</f>
        <v xml:space="preserve"> </v>
      </c>
      <c r="R41" s="32"/>
      <c r="S41" s="32"/>
      <c r="T41" s="53"/>
      <c r="U41" s="21" t="str">
        <f>IFERROR(VLOOKUP(August[[#This Row],[Drug Name2]],'Data Options'!$R$1:$S$100,2,FALSE), " ")</f>
        <v xml:space="preserve"> </v>
      </c>
      <c r="V41" s="32"/>
      <c r="W41" s="32"/>
      <c r="X41" s="53"/>
      <c r="Y41" s="21" t="str">
        <f>IFERROR(VLOOKUP(August[[#This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21" t="str">
        <f>IFERROR(VLOOKUP(August[[#This Row],[Drug Name4]],'Data Options'!$R$1:$S$100,2,FALSE), " ")</f>
        <v xml:space="preserve"> </v>
      </c>
      <c r="AI41" s="32"/>
      <c r="AJ41" s="32"/>
      <c r="AK41" s="53"/>
      <c r="AL41" s="21" t="str">
        <f>IFERROR(VLOOKUP(August[[#This Row],[Drug Name5]],'Data Options'!$R$1:$S$100,2,FALSE), " ")</f>
        <v xml:space="preserve"> </v>
      </c>
      <c r="AM41" s="32"/>
      <c r="AN41" s="32"/>
      <c r="AO41" s="53"/>
      <c r="AP41" s="21" t="str">
        <f>IFERROR(VLOOKUP(August[[#This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21" t="str">
        <f>IFERROR(VLOOKUP(August[[#This Row],[Drug Name7]],'Data Options'!$R$1:$S$100,2,FALSE), " ")</f>
        <v xml:space="preserve"> </v>
      </c>
      <c r="AZ41" s="32"/>
      <c r="BA41" s="32"/>
      <c r="BB41" s="53"/>
      <c r="BC41" s="21" t="str">
        <f>IFERROR(VLOOKUP(August[[#This Row],[Drug Name8]],'Data Options'!$R$1:$S$100,2,FALSE), " ")</f>
        <v xml:space="preserve"> </v>
      </c>
      <c r="BD41" s="32"/>
      <c r="BE41" s="32"/>
      <c r="BF41" s="53"/>
      <c r="BG41" s="21" t="str">
        <f>IFERROR(VLOOKUP(August[[#This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21" t="str">
        <f>IFERROR(VLOOKUP(August[[#This Row],[Drug Name]],'Data Options'!$R$1:$S$100,2,FALSE), " ")</f>
        <v xml:space="preserve"> </v>
      </c>
      <c r="R42" s="32"/>
      <c r="S42" s="32"/>
      <c r="T42" s="53"/>
      <c r="U42" s="21" t="str">
        <f>IFERROR(VLOOKUP(August[[#This Row],[Drug Name2]],'Data Options'!$R$1:$S$100,2,FALSE), " ")</f>
        <v xml:space="preserve"> </v>
      </c>
      <c r="V42" s="32"/>
      <c r="W42" s="32"/>
      <c r="X42" s="53"/>
      <c r="Y42" s="21" t="str">
        <f>IFERROR(VLOOKUP(August[[#This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21" t="str">
        <f>IFERROR(VLOOKUP(August[[#This Row],[Drug Name4]],'Data Options'!$R$1:$S$100,2,FALSE), " ")</f>
        <v xml:space="preserve"> </v>
      </c>
      <c r="AI42" s="32"/>
      <c r="AJ42" s="32"/>
      <c r="AK42" s="53"/>
      <c r="AL42" s="21" t="str">
        <f>IFERROR(VLOOKUP(August[[#This Row],[Drug Name5]],'Data Options'!$R$1:$S$100,2,FALSE), " ")</f>
        <v xml:space="preserve"> </v>
      </c>
      <c r="AM42" s="32"/>
      <c r="AN42" s="32"/>
      <c r="AO42" s="53"/>
      <c r="AP42" s="21" t="str">
        <f>IFERROR(VLOOKUP(August[[#This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21" t="str">
        <f>IFERROR(VLOOKUP(August[[#This Row],[Drug Name7]],'Data Options'!$R$1:$S$100,2,FALSE), " ")</f>
        <v xml:space="preserve"> </v>
      </c>
      <c r="AZ42" s="32"/>
      <c r="BA42" s="32"/>
      <c r="BB42" s="53"/>
      <c r="BC42" s="21" t="str">
        <f>IFERROR(VLOOKUP(August[[#This Row],[Drug Name8]],'Data Options'!$R$1:$S$100,2,FALSE), " ")</f>
        <v xml:space="preserve"> </v>
      </c>
      <c r="BD42" s="32"/>
      <c r="BE42" s="32"/>
      <c r="BF42" s="53"/>
      <c r="BG42" s="21" t="str">
        <f>IFERROR(VLOOKUP(August[[#This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21" t="str">
        <f>IFERROR(VLOOKUP(August[[#This Row],[Drug Name]],'Data Options'!$R$1:$S$100,2,FALSE), " ")</f>
        <v xml:space="preserve"> </v>
      </c>
      <c r="R43" s="32"/>
      <c r="S43" s="32"/>
      <c r="T43" s="53"/>
      <c r="U43" s="21" t="str">
        <f>IFERROR(VLOOKUP(August[[#This Row],[Drug Name2]],'Data Options'!$R$1:$S$100,2,FALSE), " ")</f>
        <v xml:space="preserve"> </v>
      </c>
      <c r="V43" s="32"/>
      <c r="W43" s="32"/>
      <c r="X43" s="53"/>
      <c r="Y43" s="21" t="str">
        <f>IFERROR(VLOOKUP(August[[#This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21" t="str">
        <f>IFERROR(VLOOKUP(August[[#This Row],[Drug Name4]],'Data Options'!$R$1:$S$100,2,FALSE), " ")</f>
        <v xml:space="preserve"> </v>
      </c>
      <c r="AI43" s="32"/>
      <c r="AJ43" s="32"/>
      <c r="AK43" s="53"/>
      <c r="AL43" s="21" t="str">
        <f>IFERROR(VLOOKUP(August[[#This Row],[Drug Name5]],'Data Options'!$R$1:$S$100,2,FALSE), " ")</f>
        <v xml:space="preserve"> </v>
      </c>
      <c r="AM43" s="32"/>
      <c r="AN43" s="32"/>
      <c r="AO43" s="53"/>
      <c r="AP43" s="21" t="str">
        <f>IFERROR(VLOOKUP(August[[#This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21" t="str">
        <f>IFERROR(VLOOKUP(August[[#This Row],[Drug Name7]],'Data Options'!$R$1:$S$100,2,FALSE), " ")</f>
        <v xml:space="preserve"> </v>
      </c>
      <c r="AZ43" s="32"/>
      <c r="BA43" s="32"/>
      <c r="BB43" s="53"/>
      <c r="BC43" s="21" t="str">
        <f>IFERROR(VLOOKUP(August[[#This Row],[Drug Name8]],'Data Options'!$R$1:$S$100,2,FALSE), " ")</f>
        <v xml:space="preserve"> </v>
      </c>
      <c r="BD43" s="32"/>
      <c r="BE43" s="32"/>
      <c r="BF43" s="53"/>
      <c r="BG43" s="21" t="str">
        <f>IFERROR(VLOOKUP(August[[#This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21" t="str">
        <f>IFERROR(VLOOKUP(August[[#This Row],[Drug Name]],'Data Options'!$R$1:$S$100,2,FALSE), " ")</f>
        <v xml:space="preserve"> </v>
      </c>
      <c r="R44" s="32"/>
      <c r="S44" s="32"/>
      <c r="T44" s="53"/>
      <c r="U44" s="21" t="str">
        <f>IFERROR(VLOOKUP(August[[#This Row],[Drug Name2]],'Data Options'!$R$1:$S$100,2,FALSE), " ")</f>
        <v xml:space="preserve"> </v>
      </c>
      <c r="V44" s="32"/>
      <c r="W44" s="32"/>
      <c r="X44" s="53"/>
      <c r="Y44" s="21" t="str">
        <f>IFERROR(VLOOKUP(August[[#This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21" t="str">
        <f>IFERROR(VLOOKUP(August[[#This Row],[Drug Name4]],'Data Options'!$R$1:$S$100,2,FALSE), " ")</f>
        <v xml:space="preserve"> </v>
      </c>
      <c r="AI44" s="32"/>
      <c r="AJ44" s="32"/>
      <c r="AK44" s="53"/>
      <c r="AL44" s="21" t="str">
        <f>IFERROR(VLOOKUP(August[[#This Row],[Drug Name5]],'Data Options'!$R$1:$S$100,2,FALSE), " ")</f>
        <v xml:space="preserve"> </v>
      </c>
      <c r="AM44" s="32"/>
      <c r="AN44" s="32"/>
      <c r="AO44" s="53"/>
      <c r="AP44" s="21" t="str">
        <f>IFERROR(VLOOKUP(August[[#This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21" t="str">
        <f>IFERROR(VLOOKUP(August[[#This Row],[Drug Name7]],'Data Options'!$R$1:$S$100,2,FALSE), " ")</f>
        <v xml:space="preserve"> </v>
      </c>
      <c r="AZ44" s="32"/>
      <c r="BA44" s="32"/>
      <c r="BB44" s="53"/>
      <c r="BC44" s="21" t="str">
        <f>IFERROR(VLOOKUP(August[[#This Row],[Drug Name8]],'Data Options'!$R$1:$S$100,2,FALSE), " ")</f>
        <v xml:space="preserve"> </v>
      </c>
      <c r="BD44" s="32"/>
      <c r="BE44" s="32"/>
      <c r="BF44" s="53"/>
      <c r="BG44" s="21" t="str">
        <f>IFERROR(VLOOKUP(August[[#This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21" t="str">
        <f>IFERROR(VLOOKUP(August[[#This Row],[Drug Name]],'Data Options'!$R$1:$S$100,2,FALSE), " ")</f>
        <v xml:space="preserve"> </v>
      </c>
      <c r="R45" s="32"/>
      <c r="S45" s="32"/>
      <c r="T45" s="53"/>
      <c r="U45" s="21" t="str">
        <f>IFERROR(VLOOKUP(August[[#This Row],[Drug Name2]],'Data Options'!$R$1:$S$100,2,FALSE), " ")</f>
        <v xml:space="preserve"> </v>
      </c>
      <c r="V45" s="32"/>
      <c r="W45" s="32"/>
      <c r="X45" s="53"/>
      <c r="Y45" s="21" t="str">
        <f>IFERROR(VLOOKUP(August[[#This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21" t="str">
        <f>IFERROR(VLOOKUP(August[[#This Row],[Drug Name4]],'Data Options'!$R$1:$S$100,2,FALSE), " ")</f>
        <v xml:space="preserve"> </v>
      </c>
      <c r="AI45" s="32"/>
      <c r="AJ45" s="32"/>
      <c r="AK45" s="53"/>
      <c r="AL45" s="21" t="str">
        <f>IFERROR(VLOOKUP(August[[#This Row],[Drug Name5]],'Data Options'!$R$1:$S$100,2,FALSE), " ")</f>
        <v xml:space="preserve"> </v>
      </c>
      <c r="AM45" s="32"/>
      <c r="AN45" s="32"/>
      <c r="AO45" s="53"/>
      <c r="AP45" s="21" t="str">
        <f>IFERROR(VLOOKUP(August[[#This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21" t="str">
        <f>IFERROR(VLOOKUP(August[[#This Row],[Drug Name7]],'Data Options'!$R$1:$S$100,2,FALSE), " ")</f>
        <v xml:space="preserve"> </v>
      </c>
      <c r="AZ45" s="32"/>
      <c r="BA45" s="32"/>
      <c r="BB45" s="53"/>
      <c r="BC45" s="21" t="str">
        <f>IFERROR(VLOOKUP(August[[#This Row],[Drug Name8]],'Data Options'!$R$1:$S$100,2,FALSE), " ")</f>
        <v xml:space="preserve"> </v>
      </c>
      <c r="BD45" s="32"/>
      <c r="BE45" s="32"/>
      <c r="BF45" s="53"/>
      <c r="BG45" s="21" t="str">
        <f>IFERROR(VLOOKUP(August[[#This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21" t="str">
        <f>IFERROR(VLOOKUP(August[[#This Row],[Drug Name]],'Data Options'!$R$1:$S$100,2,FALSE), " ")</f>
        <v xml:space="preserve"> </v>
      </c>
      <c r="R46" s="32"/>
      <c r="S46" s="32"/>
      <c r="T46" s="53"/>
      <c r="U46" s="21" t="str">
        <f>IFERROR(VLOOKUP(August[[#This Row],[Drug Name2]],'Data Options'!$R$1:$S$100,2,FALSE), " ")</f>
        <v xml:space="preserve"> </v>
      </c>
      <c r="V46" s="32"/>
      <c r="W46" s="32"/>
      <c r="X46" s="53"/>
      <c r="Y46" s="21" t="str">
        <f>IFERROR(VLOOKUP(August[[#This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21" t="str">
        <f>IFERROR(VLOOKUP(August[[#This Row],[Drug Name4]],'Data Options'!$R$1:$S$100,2,FALSE), " ")</f>
        <v xml:space="preserve"> </v>
      </c>
      <c r="AI46" s="32"/>
      <c r="AJ46" s="32"/>
      <c r="AK46" s="53"/>
      <c r="AL46" s="21" t="str">
        <f>IFERROR(VLOOKUP(August[[#This Row],[Drug Name5]],'Data Options'!$R$1:$S$100,2,FALSE), " ")</f>
        <v xml:space="preserve"> </v>
      </c>
      <c r="AM46" s="32"/>
      <c r="AN46" s="32"/>
      <c r="AO46" s="53"/>
      <c r="AP46" s="21" t="str">
        <f>IFERROR(VLOOKUP(August[[#This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21" t="str">
        <f>IFERROR(VLOOKUP(August[[#This Row],[Drug Name7]],'Data Options'!$R$1:$S$100,2,FALSE), " ")</f>
        <v xml:space="preserve"> </v>
      </c>
      <c r="AZ46" s="32"/>
      <c r="BA46" s="32"/>
      <c r="BB46" s="53"/>
      <c r="BC46" s="21" t="str">
        <f>IFERROR(VLOOKUP(August[[#This Row],[Drug Name8]],'Data Options'!$R$1:$S$100,2,FALSE), " ")</f>
        <v xml:space="preserve"> </v>
      </c>
      <c r="BD46" s="32"/>
      <c r="BE46" s="32"/>
      <c r="BF46" s="53"/>
      <c r="BG46" s="21" t="str">
        <f>IFERROR(VLOOKUP(August[[#This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21" t="str">
        <f>IFERROR(VLOOKUP(August[[#This Row],[Drug Name]],'Data Options'!$R$1:$S$100,2,FALSE), " ")</f>
        <v xml:space="preserve"> </v>
      </c>
      <c r="R47" s="32"/>
      <c r="S47" s="32"/>
      <c r="T47" s="53"/>
      <c r="U47" s="21" t="str">
        <f>IFERROR(VLOOKUP(August[[#This Row],[Drug Name2]],'Data Options'!$R$1:$S$100,2,FALSE), " ")</f>
        <v xml:space="preserve"> </v>
      </c>
      <c r="V47" s="32"/>
      <c r="W47" s="32"/>
      <c r="X47" s="53"/>
      <c r="Y47" s="21" t="str">
        <f>IFERROR(VLOOKUP(August[[#This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21" t="str">
        <f>IFERROR(VLOOKUP(August[[#This Row],[Drug Name4]],'Data Options'!$R$1:$S$100,2,FALSE), " ")</f>
        <v xml:space="preserve"> </v>
      </c>
      <c r="AI47" s="32"/>
      <c r="AJ47" s="32"/>
      <c r="AK47" s="53"/>
      <c r="AL47" s="21" t="str">
        <f>IFERROR(VLOOKUP(August[[#This Row],[Drug Name5]],'Data Options'!$R$1:$S$100,2,FALSE), " ")</f>
        <v xml:space="preserve"> </v>
      </c>
      <c r="AM47" s="32"/>
      <c r="AN47" s="32"/>
      <c r="AO47" s="53"/>
      <c r="AP47" s="21" t="str">
        <f>IFERROR(VLOOKUP(August[[#This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21" t="str">
        <f>IFERROR(VLOOKUP(August[[#This Row],[Drug Name7]],'Data Options'!$R$1:$S$100,2,FALSE), " ")</f>
        <v xml:space="preserve"> </v>
      </c>
      <c r="AZ47" s="32"/>
      <c r="BA47" s="32"/>
      <c r="BB47" s="53"/>
      <c r="BC47" s="21" t="str">
        <f>IFERROR(VLOOKUP(August[[#This Row],[Drug Name8]],'Data Options'!$R$1:$S$100,2,FALSE), " ")</f>
        <v xml:space="preserve"> </v>
      </c>
      <c r="BD47" s="32"/>
      <c r="BE47" s="32"/>
      <c r="BF47" s="53"/>
      <c r="BG47" s="21" t="str">
        <f>IFERROR(VLOOKUP(August[[#This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21" t="str">
        <f>IFERROR(VLOOKUP(August[[#This Row],[Drug Name]],'Data Options'!$R$1:$S$100,2,FALSE), " ")</f>
        <v xml:space="preserve"> </v>
      </c>
      <c r="R48" s="32"/>
      <c r="S48" s="32"/>
      <c r="T48" s="53"/>
      <c r="U48" s="21" t="str">
        <f>IFERROR(VLOOKUP(August[[#This Row],[Drug Name2]],'Data Options'!$R$1:$S$100,2,FALSE), " ")</f>
        <v xml:space="preserve"> </v>
      </c>
      <c r="V48" s="32"/>
      <c r="W48" s="32"/>
      <c r="X48" s="53"/>
      <c r="Y48" s="21" t="str">
        <f>IFERROR(VLOOKUP(August[[#This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21" t="str">
        <f>IFERROR(VLOOKUP(August[[#This Row],[Drug Name4]],'Data Options'!$R$1:$S$100,2,FALSE), " ")</f>
        <v xml:space="preserve"> </v>
      </c>
      <c r="AI48" s="32"/>
      <c r="AJ48" s="32"/>
      <c r="AK48" s="53"/>
      <c r="AL48" s="21" t="str">
        <f>IFERROR(VLOOKUP(August[[#This Row],[Drug Name5]],'Data Options'!$R$1:$S$100,2,FALSE), " ")</f>
        <v xml:space="preserve"> </v>
      </c>
      <c r="AM48" s="32"/>
      <c r="AN48" s="32"/>
      <c r="AO48" s="53"/>
      <c r="AP48" s="21" t="str">
        <f>IFERROR(VLOOKUP(August[[#This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21" t="str">
        <f>IFERROR(VLOOKUP(August[[#This Row],[Drug Name7]],'Data Options'!$R$1:$S$100,2,FALSE), " ")</f>
        <v xml:space="preserve"> </v>
      </c>
      <c r="AZ48" s="32"/>
      <c r="BA48" s="32"/>
      <c r="BB48" s="53"/>
      <c r="BC48" s="21" t="str">
        <f>IFERROR(VLOOKUP(August[[#This Row],[Drug Name8]],'Data Options'!$R$1:$S$100,2,FALSE), " ")</f>
        <v xml:space="preserve"> </v>
      </c>
      <c r="BD48" s="32"/>
      <c r="BE48" s="32"/>
      <c r="BF48" s="53"/>
      <c r="BG48" s="21" t="str">
        <f>IFERROR(VLOOKUP(August[[#This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21" t="str">
        <f>IFERROR(VLOOKUP(August[[#This Row],[Drug Name]],'Data Options'!$R$1:$S$100,2,FALSE), " ")</f>
        <v xml:space="preserve"> </v>
      </c>
      <c r="R49" s="32"/>
      <c r="S49" s="32"/>
      <c r="T49" s="53"/>
      <c r="U49" s="21" t="str">
        <f>IFERROR(VLOOKUP(August[[#This Row],[Drug Name2]],'Data Options'!$R$1:$S$100,2,FALSE), " ")</f>
        <v xml:space="preserve"> </v>
      </c>
      <c r="V49" s="32"/>
      <c r="W49" s="32"/>
      <c r="X49" s="53"/>
      <c r="Y49" s="21" t="str">
        <f>IFERROR(VLOOKUP(August[[#This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21" t="str">
        <f>IFERROR(VLOOKUP(August[[#This Row],[Drug Name4]],'Data Options'!$R$1:$S$100,2,FALSE), " ")</f>
        <v xml:space="preserve"> </v>
      </c>
      <c r="AI49" s="32"/>
      <c r="AJ49" s="32"/>
      <c r="AK49" s="53"/>
      <c r="AL49" s="21" t="str">
        <f>IFERROR(VLOOKUP(August[[#This Row],[Drug Name5]],'Data Options'!$R$1:$S$100,2,FALSE), " ")</f>
        <v xml:space="preserve"> </v>
      </c>
      <c r="AM49" s="32"/>
      <c r="AN49" s="32"/>
      <c r="AO49" s="53"/>
      <c r="AP49" s="21" t="str">
        <f>IFERROR(VLOOKUP(August[[#This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21" t="str">
        <f>IFERROR(VLOOKUP(August[[#This Row],[Drug Name7]],'Data Options'!$R$1:$S$100,2,FALSE), " ")</f>
        <v xml:space="preserve"> </v>
      </c>
      <c r="AZ49" s="32"/>
      <c r="BA49" s="32"/>
      <c r="BB49" s="53"/>
      <c r="BC49" s="21" t="str">
        <f>IFERROR(VLOOKUP(August[[#This Row],[Drug Name8]],'Data Options'!$R$1:$S$100,2,FALSE), " ")</f>
        <v xml:space="preserve"> </v>
      </c>
      <c r="BD49" s="32"/>
      <c r="BE49" s="32"/>
      <c r="BF49" s="53"/>
      <c r="BG49" s="21" t="str">
        <f>IFERROR(VLOOKUP(August[[#This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21" t="str">
        <f>IFERROR(VLOOKUP(August[[#This Row],[Drug Name]],'Data Options'!$R$1:$S$100,2,FALSE), " ")</f>
        <v xml:space="preserve"> </v>
      </c>
      <c r="R50" s="32"/>
      <c r="S50" s="32"/>
      <c r="T50" s="53"/>
      <c r="U50" s="21" t="str">
        <f>IFERROR(VLOOKUP(August[[#This Row],[Drug Name2]],'Data Options'!$R$1:$S$100,2,FALSE), " ")</f>
        <v xml:space="preserve"> </v>
      </c>
      <c r="V50" s="32"/>
      <c r="W50" s="32"/>
      <c r="X50" s="53"/>
      <c r="Y50" s="21" t="str">
        <f>IFERROR(VLOOKUP(August[[#This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21" t="str">
        <f>IFERROR(VLOOKUP(August[[#This Row],[Drug Name4]],'Data Options'!$R$1:$S$100,2,FALSE), " ")</f>
        <v xml:space="preserve"> </v>
      </c>
      <c r="AI50" s="32"/>
      <c r="AJ50" s="32"/>
      <c r="AK50" s="53"/>
      <c r="AL50" s="21" t="str">
        <f>IFERROR(VLOOKUP(August[[#This Row],[Drug Name5]],'Data Options'!$R$1:$S$100,2,FALSE), " ")</f>
        <v xml:space="preserve"> </v>
      </c>
      <c r="AM50" s="32"/>
      <c r="AN50" s="32"/>
      <c r="AO50" s="53"/>
      <c r="AP50" s="21" t="str">
        <f>IFERROR(VLOOKUP(August[[#This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21" t="str">
        <f>IFERROR(VLOOKUP(August[[#This Row],[Drug Name7]],'Data Options'!$R$1:$S$100,2,FALSE), " ")</f>
        <v xml:space="preserve"> </v>
      </c>
      <c r="AZ50" s="32"/>
      <c r="BA50" s="32"/>
      <c r="BB50" s="53"/>
      <c r="BC50" s="21" t="str">
        <f>IFERROR(VLOOKUP(August[[#This Row],[Drug Name8]],'Data Options'!$R$1:$S$100,2,FALSE), " ")</f>
        <v xml:space="preserve"> </v>
      </c>
      <c r="BD50" s="32"/>
      <c r="BE50" s="32"/>
      <c r="BF50" s="53"/>
      <c r="BG50" s="21" t="str">
        <f>IFERROR(VLOOKUP(August[[#This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21" t="str">
        <f>IFERROR(VLOOKUP(August[[#This Row],[Drug Name]],'Data Options'!$R$1:$S$100,2,FALSE), " ")</f>
        <v xml:space="preserve"> </v>
      </c>
      <c r="R51" s="32"/>
      <c r="S51" s="32"/>
      <c r="T51" s="53"/>
      <c r="U51" s="21" t="str">
        <f>IFERROR(VLOOKUP(August[[#This Row],[Drug Name2]],'Data Options'!$R$1:$S$100,2,FALSE), " ")</f>
        <v xml:space="preserve"> </v>
      </c>
      <c r="V51" s="32"/>
      <c r="W51" s="32"/>
      <c r="X51" s="53"/>
      <c r="Y51" s="21" t="str">
        <f>IFERROR(VLOOKUP(August[[#This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21" t="str">
        <f>IFERROR(VLOOKUP(August[[#This Row],[Drug Name4]],'Data Options'!$R$1:$S$100,2,FALSE), " ")</f>
        <v xml:space="preserve"> </v>
      </c>
      <c r="AI51" s="32"/>
      <c r="AJ51" s="32"/>
      <c r="AK51" s="53"/>
      <c r="AL51" s="21" t="str">
        <f>IFERROR(VLOOKUP(August[[#This Row],[Drug Name5]],'Data Options'!$R$1:$S$100,2,FALSE), " ")</f>
        <v xml:space="preserve"> </v>
      </c>
      <c r="AM51" s="32"/>
      <c r="AN51" s="32"/>
      <c r="AO51" s="53"/>
      <c r="AP51" s="21" t="str">
        <f>IFERROR(VLOOKUP(August[[#This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21" t="str">
        <f>IFERROR(VLOOKUP(August[[#This Row],[Drug Name7]],'Data Options'!$R$1:$S$100,2,FALSE), " ")</f>
        <v xml:space="preserve"> </v>
      </c>
      <c r="AZ51" s="32"/>
      <c r="BA51" s="32"/>
      <c r="BB51" s="53"/>
      <c r="BC51" s="21" t="str">
        <f>IFERROR(VLOOKUP(August[[#This Row],[Drug Name8]],'Data Options'!$R$1:$S$100,2,FALSE), " ")</f>
        <v xml:space="preserve"> </v>
      </c>
      <c r="BD51" s="32"/>
      <c r="BE51" s="32"/>
      <c r="BF51" s="53"/>
      <c r="BG51" s="21" t="str">
        <f>IFERROR(VLOOKUP(August[[#This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21" t="str">
        <f>IFERROR(VLOOKUP(August[[#This Row],[Drug Name]],'Data Options'!$R$1:$S$100,2,FALSE), " ")</f>
        <v xml:space="preserve"> </v>
      </c>
      <c r="R52" s="32"/>
      <c r="S52" s="32"/>
      <c r="T52" s="53"/>
      <c r="U52" s="21" t="str">
        <f>IFERROR(VLOOKUP(August[[#This Row],[Drug Name2]],'Data Options'!$R$1:$S$100,2,FALSE), " ")</f>
        <v xml:space="preserve"> </v>
      </c>
      <c r="V52" s="32"/>
      <c r="W52" s="32"/>
      <c r="X52" s="53"/>
      <c r="Y52" s="21" t="str">
        <f>IFERROR(VLOOKUP(August[[#This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21" t="str">
        <f>IFERROR(VLOOKUP(August[[#This Row],[Drug Name4]],'Data Options'!$R$1:$S$100,2,FALSE), " ")</f>
        <v xml:space="preserve"> </v>
      </c>
      <c r="AI52" s="32"/>
      <c r="AJ52" s="32"/>
      <c r="AK52" s="53"/>
      <c r="AL52" s="21" t="str">
        <f>IFERROR(VLOOKUP(August[[#This Row],[Drug Name5]],'Data Options'!$R$1:$S$100,2,FALSE), " ")</f>
        <v xml:space="preserve"> </v>
      </c>
      <c r="AM52" s="32"/>
      <c r="AN52" s="32"/>
      <c r="AO52" s="53"/>
      <c r="AP52" s="21" t="str">
        <f>IFERROR(VLOOKUP(August[[#This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21" t="str">
        <f>IFERROR(VLOOKUP(August[[#This Row],[Drug Name7]],'Data Options'!$R$1:$S$100,2,FALSE), " ")</f>
        <v xml:space="preserve"> </v>
      </c>
      <c r="AZ52" s="32"/>
      <c r="BA52" s="32"/>
      <c r="BB52" s="53"/>
      <c r="BC52" s="21" t="str">
        <f>IFERROR(VLOOKUP(August[[#This Row],[Drug Name8]],'Data Options'!$R$1:$S$100,2,FALSE), " ")</f>
        <v xml:space="preserve"> </v>
      </c>
      <c r="BD52" s="32"/>
      <c r="BE52" s="32"/>
      <c r="BF52" s="53"/>
      <c r="BG52" s="21" t="str">
        <f>IFERROR(VLOOKUP(August[[#This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21" t="str">
        <f>IFERROR(VLOOKUP(August[[#This Row],[Drug Name]],'Data Options'!$R$1:$S$100,2,FALSE), " ")</f>
        <v xml:space="preserve"> </v>
      </c>
      <c r="R53" s="32"/>
      <c r="S53" s="32"/>
      <c r="T53" s="53"/>
      <c r="U53" s="21" t="str">
        <f>IFERROR(VLOOKUP(August[[#This Row],[Drug Name2]],'Data Options'!$R$1:$S$100,2,FALSE), " ")</f>
        <v xml:space="preserve"> </v>
      </c>
      <c r="V53" s="32"/>
      <c r="W53" s="32"/>
      <c r="X53" s="53"/>
      <c r="Y53" s="21" t="str">
        <f>IFERROR(VLOOKUP(August[[#This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21" t="str">
        <f>IFERROR(VLOOKUP(August[[#This Row],[Drug Name4]],'Data Options'!$R$1:$S$100,2,FALSE), " ")</f>
        <v xml:space="preserve"> </v>
      </c>
      <c r="AI53" s="32"/>
      <c r="AJ53" s="32"/>
      <c r="AK53" s="53"/>
      <c r="AL53" s="21" t="str">
        <f>IFERROR(VLOOKUP(August[[#This Row],[Drug Name5]],'Data Options'!$R$1:$S$100,2,FALSE), " ")</f>
        <v xml:space="preserve"> </v>
      </c>
      <c r="AM53" s="32"/>
      <c r="AN53" s="32"/>
      <c r="AO53" s="53"/>
      <c r="AP53" s="21" t="str">
        <f>IFERROR(VLOOKUP(August[[#This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21" t="str">
        <f>IFERROR(VLOOKUP(August[[#This Row],[Drug Name7]],'Data Options'!$R$1:$S$100,2,FALSE), " ")</f>
        <v xml:space="preserve"> </v>
      </c>
      <c r="AZ53" s="32"/>
      <c r="BA53" s="32"/>
      <c r="BB53" s="53"/>
      <c r="BC53" s="21" t="str">
        <f>IFERROR(VLOOKUP(August[[#This Row],[Drug Name8]],'Data Options'!$R$1:$S$100,2,FALSE), " ")</f>
        <v xml:space="preserve"> </v>
      </c>
      <c r="BD53" s="32"/>
      <c r="BE53" s="32"/>
      <c r="BF53" s="53"/>
      <c r="BG53" s="21" t="str">
        <f>IFERROR(VLOOKUP(August[[#This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21" t="str">
        <f>IFERROR(VLOOKUP(August[[#This Row],[Drug Name]],'Data Options'!$R$1:$S$100,2,FALSE), " ")</f>
        <v xml:space="preserve"> </v>
      </c>
      <c r="R54" s="32"/>
      <c r="S54" s="32"/>
      <c r="T54" s="53"/>
      <c r="U54" s="21" t="str">
        <f>IFERROR(VLOOKUP(August[[#This Row],[Drug Name2]],'Data Options'!$R$1:$S$100,2,FALSE), " ")</f>
        <v xml:space="preserve"> </v>
      </c>
      <c r="V54" s="32"/>
      <c r="W54" s="32"/>
      <c r="X54" s="53"/>
      <c r="Y54" s="21" t="str">
        <f>IFERROR(VLOOKUP(August[[#This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21" t="str">
        <f>IFERROR(VLOOKUP(August[[#This Row],[Drug Name4]],'Data Options'!$R$1:$S$100,2,FALSE), " ")</f>
        <v xml:space="preserve"> </v>
      </c>
      <c r="AI54" s="32"/>
      <c r="AJ54" s="32"/>
      <c r="AK54" s="53"/>
      <c r="AL54" s="21" t="str">
        <f>IFERROR(VLOOKUP(August[[#This Row],[Drug Name5]],'Data Options'!$R$1:$S$100,2,FALSE), " ")</f>
        <v xml:space="preserve"> </v>
      </c>
      <c r="AM54" s="32"/>
      <c r="AN54" s="32"/>
      <c r="AO54" s="53"/>
      <c r="AP54" s="21" t="str">
        <f>IFERROR(VLOOKUP(August[[#This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21" t="str">
        <f>IFERROR(VLOOKUP(August[[#This Row],[Drug Name7]],'Data Options'!$R$1:$S$100,2,FALSE), " ")</f>
        <v xml:space="preserve"> </v>
      </c>
      <c r="AZ54" s="32"/>
      <c r="BA54" s="32"/>
      <c r="BB54" s="53"/>
      <c r="BC54" s="21" t="str">
        <f>IFERROR(VLOOKUP(August[[#This Row],[Drug Name8]],'Data Options'!$R$1:$S$100,2,FALSE), " ")</f>
        <v xml:space="preserve"> </v>
      </c>
      <c r="BD54" s="32"/>
      <c r="BE54" s="32"/>
      <c r="BF54" s="53"/>
      <c r="BG54" s="21" t="str">
        <f>IFERROR(VLOOKUP(August[[#This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21" t="str">
        <f>IFERROR(VLOOKUP(August[[#This Row],[Drug Name]],'Data Options'!$R$1:$S$100,2,FALSE), " ")</f>
        <v xml:space="preserve"> </v>
      </c>
      <c r="R55" s="32"/>
      <c r="S55" s="32"/>
      <c r="T55" s="53"/>
      <c r="U55" s="21" t="str">
        <f>IFERROR(VLOOKUP(August[[#This Row],[Drug Name2]],'Data Options'!$R$1:$S$100,2,FALSE), " ")</f>
        <v xml:space="preserve"> </v>
      </c>
      <c r="V55" s="32"/>
      <c r="W55" s="32"/>
      <c r="X55" s="53"/>
      <c r="Y55" s="21" t="str">
        <f>IFERROR(VLOOKUP(August[[#This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21" t="str">
        <f>IFERROR(VLOOKUP(August[[#This Row],[Drug Name4]],'Data Options'!$R$1:$S$100,2,FALSE), " ")</f>
        <v xml:space="preserve"> </v>
      </c>
      <c r="AI55" s="32"/>
      <c r="AJ55" s="32"/>
      <c r="AK55" s="53"/>
      <c r="AL55" s="21" t="str">
        <f>IFERROR(VLOOKUP(August[[#This Row],[Drug Name5]],'Data Options'!$R$1:$S$100,2,FALSE), " ")</f>
        <v xml:space="preserve"> </v>
      </c>
      <c r="AM55" s="32"/>
      <c r="AN55" s="32"/>
      <c r="AO55" s="53"/>
      <c r="AP55" s="21" t="str">
        <f>IFERROR(VLOOKUP(August[[#This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21" t="str">
        <f>IFERROR(VLOOKUP(August[[#This Row],[Drug Name7]],'Data Options'!$R$1:$S$100,2,FALSE), " ")</f>
        <v xml:space="preserve"> </v>
      </c>
      <c r="AZ55" s="32"/>
      <c r="BA55" s="32"/>
      <c r="BB55" s="53"/>
      <c r="BC55" s="21" t="str">
        <f>IFERROR(VLOOKUP(August[[#This Row],[Drug Name8]],'Data Options'!$R$1:$S$100,2,FALSE), " ")</f>
        <v xml:space="preserve"> </v>
      </c>
      <c r="BD55" s="32"/>
      <c r="BE55" s="32"/>
      <c r="BF55" s="53"/>
      <c r="BG55" s="21" t="str">
        <f>IFERROR(VLOOKUP(August[[#This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21" t="str">
        <f>IFERROR(VLOOKUP(August[[#This Row],[Drug Name]],'Data Options'!$R$1:$S$100,2,FALSE), " ")</f>
        <v xml:space="preserve"> </v>
      </c>
      <c r="R56" s="32"/>
      <c r="S56" s="32"/>
      <c r="T56" s="53"/>
      <c r="U56" s="21" t="str">
        <f>IFERROR(VLOOKUP(August[[#This Row],[Drug Name2]],'Data Options'!$R$1:$S$100,2,FALSE), " ")</f>
        <v xml:space="preserve"> </v>
      </c>
      <c r="V56" s="32"/>
      <c r="W56" s="32"/>
      <c r="X56" s="53"/>
      <c r="Y56" s="21" t="str">
        <f>IFERROR(VLOOKUP(August[[#This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21" t="str">
        <f>IFERROR(VLOOKUP(August[[#This Row],[Drug Name4]],'Data Options'!$R$1:$S$100,2,FALSE), " ")</f>
        <v xml:space="preserve"> </v>
      </c>
      <c r="AI56" s="32"/>
      <c r="AJ56" s="32"/>
      <c r="AK56" s="53"/>
      <c r="AL56" s="21" t="str">
        <f>IFERROR(VLOOKUP(August[[#This Row],[Drug Name5]],'Data Options'!$R$1:$S$100,2,FALSE), " ")</f>
        <v xml:space="preserve"> </v>
      </c>
      <c r="AM56" s="32"/>
      <c r="AN56" s="32"/>
      <c r="AO56" s="53"/>
      <c r="AP56" s="21" t="str">
        <f>IFERROR(VLOOKUP(August[[#This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21" t="str">
        <f>IFERROR(VLOOKUP(August[[#This Row],[Drug Name7]],'Data Options'!$R$1:$S$100,2,FALSE), " ")</f>
        <v xml:space="preserve"> </v>
      </c>
      <c r="AZ56" s="32"/>
      <c r="BA56" s="32"/>
      <c r="BB56" s="53"/>
      <c r="BC56" s="21" t="str">
        <f>IFERROR(VLOOKUP(August[[#This Row],[Drug Name8]],'Data Options'!$R$1:$S$100,2,FALSE), " ")</f>
        <v xml:space="preserve"> </v>
      </c>
      <c r="BD56" s="32"/>
      <c r="BE56" s="32"/>
      <c r="BF56" s="53"/>
      <c r="BG56" s="21" t="str">
        <f>IFERROR(VLOOKUP(August[[#This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21" t="str">
        <f>IFERROR(VLOOKUP(August[[#This Row],[Drug Name]],'Data Options'!$R$1:$S$100,2,FALSE), " ")</f>
        <v xml:space="preserve"> </v>
      </c>
      <c r="R57" s="32"/>
      <c r="S57" s="32"/>
      <c r="T57" s="53"/>
      <c r="U57" s="21" t="str">
        <f>IFERROR(VLOOKUP(August[[#This Row],[Drug Name2]],'Data Options'!$R$1:$S$100,2,FALSE), " ")</f>
        <v xml:space="preserve"> </v>
      </c>
      <c r="V57" s="32"/>
      <c r="W57" s="32"/>
      <c r="X57" s="53"/>
      <c r="Y57" s="21" t="str">
        <f>IFERROR(VLOOKUP(August[[#This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21" t="str">
        <f>IFERROR(VLOOKUP(August[[#This Row],[Drug Name4]],'Data Options'!$R$1:$S$100,2,FALSE), " ")</f>
        <v xml:space="preserve"> </v>
      </c>
      <c r="AI57" s="32"/>
      <c r="AJ57" s="32"/>
      <c r="AK57" s="53"/>
      <c r="AL57" s="21" t="str">
        <f>IFERROR(VLOOKUP(August[[#This Row],[Drug Name5]],'Data Options'!$R$1:$S$100,2,FALSE), " ")</f>
        <v xml:space="preserve"> </v>
      </c>
      <c r="AM57" s="32"/>
      <c r="AN57" s="32"/>
      <c r="AO57" s="53"/>
      <c r="AP57" s="21" t="str">
        <f>IFERROR(VLOOKUP(August[[#This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21" t="str">
        <f>IFERROR(VLOOKUP(August[[#This Row],[Drug Name7]],'Data Options'!$R$1:$S$100,2,FALSE), " ")</f>
        <v xml:space="preserve"> </v>
      </c>
      <c r="AZ57" s="32"/>
      <c r="BA57" s="32"/>
      <c r="BB57" s="53"/>
      <c r="BC57" s="21" t="str">
        <f>IFERROR(VLOOKUP(August[[#This Row],[Drug Name8]],'Data Options'!$R$1:$S$100,2,FALSE), " ")</f>
        <v xml:space="preserve"> </v>
      </c>
      <c r="BD57" s="32"/>
      <c r="BE57" s="32"/>
      <c r="BF57" s="53"/>
      <c r="BG57" s="21" t="str">
        <f>IFERROR(VLOOKUP(August[[#This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21" t="str">
        <f>IFERROR(VLOOKUP(August[[#This Row],[Drug Name]],'Data Options'!$R$1:$S$100,2,FALSE), " ")</f>
        <v xml:space="preserve"> </v>
      </c>
      <c r="R58" s="32"/>
      <c r="S58" s="32"/>
      <c r="T58" s="53"/>
      <c r="U58" s="21" t="str">
        <f>IFERROR(VLOOKUP(August[[#This Row],[Drug Name2]],'Data Options'!$R$1:$S$100,2,FALSE), " ")</f>
        <v xml:space="preserve"> </v>
      </c>
      <c r="V58" s="32"/>
      <c r="W58" s="32"/>
      <c r="X58" s="53"/>
      <c r="Y58" s="21" t="str">
        <f>IFERROR(VLOOKUP(August[[#This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21" t="str">
        <f>IFERROR(VLOOKUP(August[[#This Row],[Drug Name4]],'Data Options'!$R$1:$S$100,2,FALSE), " ")</f>
        <v xml:space="preserve"> </v>
      </c>
      <c r="AI58" s="32"/>
      <c r="AJ58" s="32"/>
      <c r="AK58" s="53"/>
      <c r="AL58" s="21" t="str">
        <f>IFERROR(VLOOKUP(August[[#This Row],[Drug Name5]],'Data Options'!$R$1:$S$100,2,FALSE), " ")</f>
        <v xml:space="preserve"> </v>
      </c>
      <c r="AM58" s="32"/>
      <c r="AN58" s="32"/>
      <c r="AO58" s="53"/>
      <c r="AP58" s="21" t="str">
        <f>IFERROR(VLOOKUP(August[[#This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21" t="str">
        <f>IFERROR(VLOOKUP(August[[#This Row],[Drug Name7]],'Data Options'!$R$1:$S$100,2,FALSE), " ")</f>
        <v xml:space="preserve"> </v>
      </c>
      <c r="AZ58" s="32"/>
      <c r="BA58" s="32"/>
      <c r="BB58" s="53"/>
      <c r="BC58" s="21" t="str">
        <f>IFERROR(VLOOKUP(August[[#This Row],[Drug Name8]],'Data Options'!$R$1:$S$100,2,FALSE), " ")</f>
        <v xml:space="preserve"> </v>
      </c>
      <c r="BD58" s="32"/>
      <c r="BE58" s="32"/>
      <c r="BF58" s="53"/>
      <c r="BG58" s="21" t="str">
        <f>IFERROR(VLOOKUP(August[[#This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21" t="str">
        <f>IFERROR(VLOOKUP(August[[#This Row],[Drug Name]],'Data Options'!$R$1:$S$100,2,FALSE), " ")</f>
        <v xml:space="preserve"> </v>
      </c>
      <c r="R59" s="32"/>
      <c r="S59" s="32"/>
      <c r="T59" s="53"/>
      <c r="U59" s="21" t="str">
        <f>IFERROR(VLOOKUP(August[[#This Row],[Drug Name2]],'Data Options'!$R$1:$S$100,2,FALSE), " ")</f>
        <v xml:space="preserve"> </v>
      </c>
      <c r="V59" s="32"/>
      <c r="W59" s="32"/>
      <c r="X59" s="53"/>
      <c r="Y59" s="21" t="str">
        <f>IFERROR(VLOOKUP(August[[#This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21" t="str">
        <f>IFERROR(VLOOKUP(August[[#This Row],[Drug Name4]],'Data Options'!$R$1:$S$100,2,FALSE), " ")</f>
        <v xml:space="preserve"> </v>
      </c>
      <c r="AI59" s="32"/>
      <c r="AJ59" s="32"/>
      <c r="AK59" s="53"/>
      <c r="AL59" s="21" t="str">
        <f>IFERROR(VLOOKUP(August[[#This Row],[Drug Name5]],'Data Options'!$R$1:$S$100,2,FALSE), " ")</f>
        <v xml:space="preserve"> </v>
      </c>
      <c r="AM59" s="32"/>
      <c r="AN59" s="32"/>
      <c r="AO59" s="53"/>
      <c r="AP59" s="21" t="str">
        <f>IFERROR(VLOOKUP(August[[#This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21" t="str">
        <f>IFERROR(VLOOKUP(August[[#This Row],[Drug Name7]],'Data Options'!$R$1:$S$100,2,FALSE), " ")</f>
        <v xml:space="preserve"> </v>
      </c>
      <c r="AZ59" s="32"/>
      <c r="BA59" s="32"/>
      <c r="BB59" s="53"/>
      <c r="BC59" s="21" t="str">
        <f>IFERROR(VLOOKUP(August[[#This Row],[Drug Name8]],'Data Options'!$R$1:$S$100,2,FALSE), " ")</f>
        <v xml:space="preserve"> </v>
      </c>
      <c r="BD59" s="32"/>
      <c r="BE59" s="32"/>
      <c r="BF59" s="53"/>
      <c r="BG59" s="21" t="str">
        <f>IFERROR(VLOOKUP(August[[#This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21" t="str">
        <f>IFERROR(VLOOKUP(August[[#This Row],[Drug Name]],'Data Options'!$R$1:$S$100,2,FALSE), " ")</f>
        <v xml:space="preserve"> </v>
      </c>
      <c r="R60" s="32"/>
      <c r="S60" s="32"/>
      <c r="T60" s="53"/>
      <c r="U60" s="21" t="str">
        <f>IFERROR(VLOOKUP(August[[#This Row],[Drug Name2]],'Data Options'!$R$1:$S$100,2,FALSE), " ")</f>
        <v xml:space="preserve"> </v>
      </c>
      <c r="V60" s="32"/>
      <c r="W60" s="32"/>
      <c r="X60" s="53"/>
      <c r="Y60" s="21" t="str">
        <f>IFERROR(VLOOKUP(August[[#This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21" t="str">
        <f>IFERROR(VLOOKUP(August[[#This Row],[Drug Name4]],'Data Options'!$R$1:$S$100,2,FALSE), " ")</f>
        <v xml:space="preserve"> </v>
      </c>
      <c r="AI60" s="32"/>
      <c r="AJ60" s="32"/>
      <c r="AK60" s="53"/>
      <c r="AL60" s="21" t="str">
        <f>IFERROR(VLOOKUP(August[[#This Row],[Drug Name5]],'Data Options'!$R$1:$S$100,2,FALSE), " ")</f>
        <v xml:space="preserve"> </v>
      </c>
      <c r="AM60" s="32"/>
      <c r="AN60" s="32"/>
      <c r="AO60" s="53"/>
      <c r="AP60" s="21" t="str">
        <f>IFERROR(VLOOKUP(August[[#This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21" t="str">
        <f>IFERROR(VLOOKUP(August[[#This Row],[Drug Name7]],'Data Options'!$R$1:$S$100,2,FALSE), " ")</f>
        <v xml:space="preserve"> </v>
      </c>
      <c r="AZ60" s="32"/>
      <c r="BA60" s="32"/>
      <c r="BB60" s="53"/>
      <c r="BC60" s="21" t="str">
        <f>IFERROR(VLOOKUP(August[[#This Row],[Drug Name8]],'Data Options'!$R$1:$S$100,2,FALSE), " ")</f>
        <v xml:space="preserve"> </v>
      </c>
      <c r="BD60" s="32"/>
      <c r="BE60" s="32"/>
      <c r="BF60" s="53"/>
      <c r="BG60" s="21" t="str">
        <f>IFERROR(VLOOKUP(August[[#This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21" t="str">
        <f>IFERROR(VLOOKUP(August[[#This Row],[Drug Name]],'Data Options'!$R$1:$S$100,2,FALSE), " ")</f>
        <v xml:space="preserve"> </v>
      </c>
      <c r="R61" s="32"/>
      <c r="S61" s="32"/>
      <c r="T61" s="53"/>
      <c r="U61" s="21" t="str">
        <f>IFERROR(VLOOKUP(August[[#This Row],[Drug Name2]],'Data Options'!$R$1:$S$100,2,FALSE), " ")</f>
        <v xml:space="preserve"> </v>
      </c>
      <c r="V61" s="32"/>
      <c r="W61" s="32"/>
      <c r="X61" s="53"/>
      <c r="Y61" s="21" t="str">
        <f>IFERROR(VLOOKUP(August[[#This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21" t="str">
        <f>IFERROR(VLOOKUP(August[[#This Row],[Drug Name4]],'Data Options'!$R$1:$S$100,2,FALSE), " ")</f>
        <v xml:space="preserve"> </v>
      </c>
      <c r="AI61" s="32"/>
      <c r="AJ61" s="32"/>
      <c r="AK61" s="53"/>
      <c r="AL61" s="21" t="str">
        <f>IFERROR(VLOOKUP(August[[#This Row],[Drug Name5]],'Data Options'!$R$1:$S$100,2,FALSE), " ")</f>
        <v xml:space="preserve"> </v>
      </c>
      <c r="AM61" s="32"/>
      <c r="AN61" s="32"/>
      <c r="AO61" s="53"/>
      <c r="AP61" s="21" t="str">
        <f>IFERROR(VLOOKUP(August[[#This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21" t="str">
        <f>IFERROR(VLOOKUP(August[[#This Row],[Drug Name7]],'Data Options'!$R$1:$S$100,2,FALSE), " ")</f>
        <v xml:space="preserve"> </v>
      </c>
      <c r="AZ61" s="32"/>
      <c r="BA61" s="32"/>
      <c r="BB61" s="53"/>
      <c r="BC61" s="21" t="str">
        <f>IFERROR(VLOOKUP(August[[#This Row],[Drug Name8]],'Data Options'!$R$1:$S$100,2,FALSE), " ")</f>
        <v xml:space="preserve"> </v>
      </c>
      <c r="BD61" s="32"/>
      <c r="BE61" s="32"/>
      <c r="BF61" s="53"/>
      <c r="BG61" s="21" t="str">
        <f>IFERROR(VLOOKUP(August[[#This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21" t="str">
        <f>IFERROR(VLOOKUP(August[[#This Row],[Drug Name]],'Data Options'!$R$1:$S$100,2,FALSE), " ")</f>
        <v xml:space="preserve"> </v>
      </c>
      <c r="R62" s="32"/>
      <c r="S62" s="32"/>
      <c r="T62" s="53"/>
      <c r="U62" s="21" t="str">
        <f>IFERROR(VLOOKUP(August[[#This Row],[Drug Name2]],'Data Options'!$R$1:$S$100,2,FALSE), " ")</f>
        <v xml:space="preserve"> </v>
      </c>
      <c r="V62" s="32"/>
      <c r="W62" s="32"/>
      <c r="X62" s="53"/>
      <c r="Y62" s="21" t="str">
        <f>IFERROR(VLOOKUP(August[[#This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21" t="str">
        <f>IFERROR(VLOOKUP(August[[#This Row],[Drug Name4]],'Data Options'!$R$1:$S$100,2,FALSE), " ")</f>
        <v xml:space="preserve"> </v>
      </c>
      <c r="AI62" s="32"/>
      <c r="AJ62" s="32"/>
      <c r="AK62" s="53"/>
      <c r="AL62" s="21" t="str">
        <f>IFERROR(VLOOKUP(August[[#This Row],[Drug Name5]],'Data Options'!$R$1:$S$100,2,FALSE), " ")</f>
        <v xml:space="preserve"> </v>
      </c>
      <c r="AM62" s="32"/>
      <c r="AN62" s="32"/>
      <c r="AO62" s="53"/>
      <c r="AP62" s="21" t="str">
        <f>IFERROR(VLOOKUP(August[[#This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21" t="str">
        <f>IFERROR(VLOOKUP(August[[#This Row],[Drug Name7]],'Data Options'!$R$1:$S$100,2,FALSE), " ")</f>
        <v xml:space="preserve"> </v>
      </c>
      <c r="AZ62" s="32"/>
      <c r="BA62" s="32"/>
      <c r="BB62" s="53"/>
      <c r="BC62" s="21" t="str">
        <f>IFERROR(VLOOKUP(August[[#This Row],[Drug Name8]],'Data Options'!$R$1:$S$100,2,FALSE), " ")</f>
        <v xml:space="preserve"> </v>
      </c>
      <c r="BD62" s="32"/>
      <c r="BE62" s="32"/>
      <c r="BF62" s="53"/>
      <c r="BG62" s="21" t="str">
        <f>IFERROR(VLOOKUP(August[[#This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21" t="str">
        <f>IFERROR(VLOOKUP(August[[#This Row],[Drug Name]],'Data Options'!$R$1:$S$100,2,FALSE), " ")</f>
        <v xml:space="preserve"> </v>
      </c>
      <c r="R63" s="32"/>
      <c r="S63" s="32"/>
      <c r="T63" s="53"/>
      <c r="U63" s="21" t="str">
        <f>IFERROR(VLOOKUP(August[[#This Row],[Drug Name2]],'Data Options'!$R$1:$S$100,2,FALSE), " ")</f>
        <v xml:space="preserve"> </v>
      </c>
      <c r="V63" s="32"/>
      <c r="W63" s="32"/>
      <c r="X63" s="53"/>
      <c r="Y63" s="21" t="str">
        <f>IFERROR(VLOOKUP(August[[#This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21" t="str">
        <f>IFERROR(VLOOKUP(August[[#This Row],[Drug Name4]],'Data Options'!$R$1:$S$100,2,FALSE), " ")</f>
        <v xml:space="preserve"> </v>
      </c>
      <c r="AI63" s="32"/>
      <c r="AJ63" s="32"/>
      <c r="AK63" s="53"/>
      <c r="AL63" s="21" t="str">
        <f>IFERROR(VLOOKUP(August[[#This Row],[Drug Name5]],'Data Options'!$R$1:$S$100,2,FALSE), " ")</f>
        <v xml:space="preserve"> </v>
      </c>
      <c r="AM63" s="32"/>
      <c r="AN63" s="32"/>
      <c r="AO63" s="53"/>
      <c r="AP63" s="21" t="str">
        <f>IFERROR(VLOOKUP(August[[#This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21" t="str">
        <f>IFERROR(VLOOKUP(August[[#This Row],[Drug Name7]],'Data Options'!$R$1:$S$100,2,FALSE), " ")</f>
        <v xml:space="preserve"> </v>
      </c>
      <c r="AZ63" s="32"/>
      <c r="BA63" s="32"/>
      <c r="BB63" s="53"/>
      <c r="BC63" s="21" t="str">
        <f>IFERROR(VLOOKUP(August[[#This Row],[Drug Name8]],'Data Options'!$R$1:$S$100,2,FALSE), " ")</f>
        <v xml:space="preserve"> </v>
      </c>
      <c r="BD63" s="32"/>
      <c r="BE63" s="32"/>
      <c r="BF63" s="53"/>
      <c r="BG63" s="21" t="str">
        <f>IFERROR(VLOOKUP(August[[#This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21" t="str">
        <f>IFERROR(VLOOKUP(August[[#This Row],[Drug Name]],'Data Options'!$R$1:$S$100,2,FALSE), " ")</f>
        <v xml:space="preserve"> </v>
      </c>
      <c r="R64" s="32"/>
      <c r="S64" s="32"/>
      <c r="T64" s="53"/>
      <c r="U64" s="21" t="str">
        <f>IFERROR(VLOOKUP(August[[#This Row],[Drug Name2]],'Data Options'!$R$1:$S$100,2,FALSE), " ")</f>
        <v xml:space="preserve"> </v>
      </c>
      <c r="V64" s="32"/>
      <c r="W64" s="32"/>
      <c r="X64" s="53"/>
      <c r="Y64" s="21" t="str">
        <f>IFERROR(VLOOKUP(August[[#This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21" t="str">
        <f>IFERROR(VLOOKUP(August[[#This Row],[Drug Name4]],'Data Options'!$R$1:$S$100,2,FALSE), " ")</f>
        <v xml:space="preserve"> </v>
      </c>
      <c r="AI64" s="32"/>
      <c r="AJ64" s="32"/>
      <c r="AK64" s="53"/>
      <c r="AL64" s="21" t="str">
        <f>IFERROR(VLOOKUP(August[[#This Row],[Drug Name5]],'Data Options'!$R$1:$S$100,2,FALSE), " ")</f>
        <v xml:space="preserve"> </v>
      </c>
      <c r="AM64" s="32"/>
      <c r="AN64" s="32"/>
      <c r="AO64" s="53"/>
      <c r="AP64" s="21" t="str">
        <f>IFERROR(VLOOKUP(August[[#This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21" t="str">
        <f>IFERROR(VLOOKUP(August[[#This Row],[Drug Name7]],'Data Options'!$R$1:$S$100,2,FALSE), " ")</f>
        <v xml:space="preserve"> </v>
      </c>
      <c r="AZ64" s="32"/>
      <c r="BA64" s="32"/>
      <c r="BB64" s="53"/>
      <c r="BC64" s="21" t="str">
        <f>IFERROR(VLOOKUP(August[[#This Row],[Drug Name8]],'Data Options'!$R$1:$S$100,2,FALSE), " ")</f>
        <v xml:space="preserve"> </v>
      </c>
      <c r="BD64" s="32"/>
      <c r="BE64" s="32"/>
      <c r="BF64" s="53"/>
      <c r="BG64" s="21" t="str">
        <f>IFERROR(VLOOKUP(August[[#This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21" t="str">
        <f>IFERROR(VLOOKUP(August[[#This Row],[Drug Name]],'Data Options'!$R$1:$S$100,2,FALSE), " ")</f>
        <v xml:space="preserve"> </v>
      </c>
      <c r="R65" s="32"/>
      <c r="S65" s="32"/>
      <c r="T65" s="53"/>
      <c r="U65" s="21" t="str">
        <f>IFERROR(VLOOKUP(August[[#This Row],[Drug Name2]],'Data Options'!$R$1:$S$100,2,FALSE), " ")</f>
        <v xml:space="preserve"> </v>
      </c>
      <c r="V65" s="32"/>
      <c r="W65" s="32"/>
      <c r="X65" s="53"/>
      <c r="Y65" s="21" t="str">
        <f>IFERROR(VLOOKUP(August[[#This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21" t="str">
        <f>IFERROR(VLOOKUP(August[[#This Row],[Drug Name4]],'Data Options'!$R$1:$S$100,2,FALSE), " ")</f>
        <v xml:space="preserve"> </v>
      </c>
      <c r="AI65" s="32"/>
      <c r="AJ65" s="32"/>
      <c r="AK65" s="53"/>
      <c r="AL65" s="21" t="str">
        <f>IFERROR(VLOOKUP(August[[#This Row],[Drug Name5]],'Data Options'!$R$1:$S$100,2,FALSE), " ")</f>
        <v xml:space="preserve"> </v>
      </c>
      <c r="AM65" s="32"/>
      <c r="AN65" s="32"/>
      <c r="AO65" s="53"/>
      <c r="AP65" s="21" t="str">
        <f>IFERROR(VLOOKUP(August[[#This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21" t="str">
        <f>IFERROR(VLOOKUP(August[[#This Row],[Drug Name7]],'Data Options'!$R$1:$S$100,2,FALSE), " ")</f>
        <v xml:space="preserve"> </v>
      </c>
      <c r="AZ65" s="32"/>
      <c r="BA65" s="32"/>
      <c r="BB65" s="53"/>
      <c r="BC65" s="21" t="str">
        <f>IFERROR(VLOOKUP(August[[#This Row],[Drug Name8]],'Data Options'!$R$1:$S$100,2,FALSE), " ")</f>
        <v xml:space="preserve"> </v>
      </c>
      <c r="BD65" s="32"/>
      <c r="BE65" s="32"/>
      <c r="BF65" s="53"/>
      <c r="BG65" s="21" t="str">
        <f>IFERROR(VLOOKUP(August[[#This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21" t="str">
        <f>IFERROR(VLOOKUP(August[[#This Row],[Drug Name]],'Data Options'!$R$1:$S$100,2,FALSE), " ")</f>
        <v xml:space="preserve"> </v>
      </c>
      <c r="R66" s="32"/>
      <c r="S66" s="32"/>
      <c r="T66" s="53"/>
      <c r="U66" s="21" t="str">
        <f>IFERROR(VLOOKUP(August[[#This Row],[Drug Name2]],'Data Options'!$R$1:$S$100,2,FALSE), " ")</f>
        <v xml:space="preserve"> </v>
      </c>
      <c r="V66" s="32"/>
      <c r="W66" s="32"/>
      <c r="X66" s="53"/>
      <c r="Y66" s="21" t="str">
        <f>IFERROR(VLOOKUP(August[[#This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21" t="str">
        <f>IFERROR(VLOOKUP(August[[#This Row],[Drug Name4]],'Data Options'!$R$1:$S$100,2,FALSE), " ")</f>
        <v xml:space="preserve"> </v>
      </c>
      <c r="AI66" s="32"/>
      <c r="AJ66" s="32"/>
      <c r="AK66" s="53"/>
      <c r="AL66" s="21" t="str">
        <f>IFERROR(VLOOKUP(August[[#This Row],[Drug Name5]],'Data Options'!$R$1:$S$100,2,FALSE), " ")</f>
        <v xml:space="preserve"> </v>
      </c>
      <c r="AM66" s="32"/>
      <c r="AN66" s="32"/>
      <c r="AO66" s="53"/>
      <c r="AP66" s="21" t="str">
        <f>IFERROR(VLOOKUP(August[[#This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21" t="str">
        <f>IFERROR(VLOOKUP(August[[#This Row],[Drug Name7]],'Data Options'!$R$1:$S$100,2,FALSE), " ")</f>
        <v xml:space="preserve"> </v>
      </c>
      <c r="AZ66" s="32"/>
      <c r="BA66" s="32"/>
      <c r="BB66" s="53"/>
      <c r="BC66" s="21" t="str">
        <f>IFERROR(VLOOKUP(August[[#This Row],[Drug Name8]],'Data Options'!$R$1:$S$100,2,FALSE), " ")</f>
        <v xml:space="preserve"> </v>
      </c>
      <c r="BD66" s="32"/>
      <c r="BE66" s="32"/>
      <c r="BF66" s="53"/>
      <c r="BG66" s="21" t="str">
        <f>IFERROR(VLOOKUP(August[[#This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21" t="str">
        <f>IFERROR(VLOOKUP(August[[#This Row],[Drug Name]],'Data Options'!$R$1:$S$100,2,FALSE), " ")</f>
        <v xml:space="preserve"> </v>
      </c>
      <c r="R67" s="32"/>
      <c r="S67" s="32"/>
      <c r="T67" s="53"/>
      <c r="U67" s="21" t="str">
        <f>IFERROR(VLOOKUP(August[[#This Row],[Drug Name2]],'Data Options'!$R$1:$S$100,2,FALSE), " ")</f>
        <v xml:space="preserve"> </v>
      </c>
      <c r="V67" s="32"/>
      <c r="W67" s="32"/>
      <c r="X67" s="53"/>
      <c r="Y67" s="21" t="str">
        <f>IFERROR(VLOOKUP(August[[#This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21" t="str">
        <f>IFERROR(VLOOKUP(August[[#This Row],[Drug Name4]],'Data Options'!$R$1:$S$100,2,FALSE), " ")</f>
        <v xml:space="preserve"> </v>
      </c>
      <c r="AI67" s="32"/>
      <c r="AJ67" s="32"/>
      <c r="AK67" s="53"/>
      <c r="AL67" s="21" t="str">
        <f>IFERROR(VLOOKUP(August[[#This Row],[Drug Name5]],'Data Options'!$R$1:$S$100,2,FALSE), " ")</f>
        <v xml:space="preserve"> </v>
      </c>
      <c r="AM67" s="32"/>
      <c r="AN67" s="32"/>
      <c r="AO67" s="53"/>
      <c r="AP67" s="21" t="str">
        <f>IFERROR(VLOOKUP(August[[#This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21" t="str">
        <f>IFERROR(VLOOKUP(August[[#This Row],[Drug Name7]],'Data Options'!$R$1:$S$100,2,FALSE), " ")</f>
        <v xml:space="preserve"> </v>
      </c>
      <c r="AZ67" s="32"/>
      <c r="BA67" s="32"/>
      <c r="BB67" s="53"/>
      <c r="BC67" s="21" t="str">
        <f>IFERROR(VLOOKUP(August[[#This Row],[Drug Name8]],'Data Options'!$R$1:$S$100,2,FALSE), " ")</f>
        <v xml:space="preserve"> </v>
      </c>
      <c r="BD67" s="32"/>
      <c r="BE67" s="32"/>
      <c r="BF67" s="53"/>
      <c r="BG67" s="21" t="str">
        <f>IFERROR(VLOOKUP(August[[#This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21" t="str">
        <f>IFERROR(VLOOKUP(August[[#This Row],[Drug Name]],'Data Options'!$R$1:$S$100,2,FALSE), " ")</f>
        <v xml:space="preserve"> </v>
      </c>
      <c r="R68" s="32"/>
      <c r="S68" s="32"/>
      <c r="T68" s="53"/>
      <c r="U68" s="21" t="str">
        <f>IFERROR(VLOOKUP(August[[#This Row],[Drug Name2]],'Data Options'!$R$1:$S$100,2,FALSE), " ")</f>
        <v xml:space="preserve"> </v>
      </c>
      <c r="V68" s="32"/>
      <c r="W68" s="32"/>
      <c r="X68" s="53"/>
      <c r="Y68" s="21" t="str">
        <f>IFERROR(VLOOKUP(August[[#This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21" t="str">
        <f>IFERROR(VLOOKUP(August[[#This Row],[Drug Name4]],'Data Options'!$R$1:$S$100,2,FALSE), " ")</f>
        <v xml:space="preserve"> </v>
      </c>
      <c r="AI68" s="32"/>
      <c r="AJ68" s="32"/>
      <c r="AK68" s="53"/>
      <c r="AL68" s="21" t="str">
        <f>IFERROR(VLOOKUP(August[[#This Row],[Drug Name5]],'Data Options'!$R$1:$S$100,2,FALSE), " ")</f>
        <v xml:space="preserve"> </v>
      </c>
      <c r="AM68" s="32"/>
      <c r="AN68" s="32"/>
      <c r="AO68" s="53"/>
      <c r="AP68" s="21" t="str">
        <f>IFERROR(VLOOKUP(August[[#This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21" t="str">
        <f>IFERROR(VLOOKUP(August[[#This Row],[Drug Name7]],'Data Options'!$R$1:$S$100,2,FALSE), " ")</f>
        <v xml:space="preserve"> </v>
      </c>
      <c r="AZ68" s="32"/>
      <c r="BA68" s="32"/>
      <c r="BB68" s="53"/>
      <c r="BC68" s="21" t="str">
        <f>IFERROR(VLOOKUP(August[[#This Row],[Drug Name8]],'Data Options'!$R$1:$S$100,2,FALSE), " ")</f>
        <v xml:space="preserve"> </v>
      </c>
      <c r="BD68" s="32"/>
      <c r="BE68" s="32"/>
      <c r="BF68" s="53"/>
      <c r="BG68" s="21" t="str">
        <f>IFERROR(VLOOKUP(August[[#This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21" t="str">
        <f>IFERROR(VLOOKUP(August[[#This Row],[Drug Name]],'Data Options'!$R$1:$S$100,2,FALSE), " ")</f>
        <v xml:space="preserve"> </v>
      </c>
      <c r="R69" s="32"/>
      <c r="S69" s="32"/>
      <c r="T69" s="53"/>
      <c r="U69" s="21" t="str">
        <f>IFERROR(VLOOKUP(August[[#This Row],[Drug Name2]],'Data Options'!$R$1:$S$100,2,FALSE), " ")</f>
        <v xml:space="preserve"> </v>
      </c>
      <c r="V69" s="32"/>
      <c r="W69" s="32"/>
      <c r="X69" s="53"/>
      <c r="Y69" s="21" t="str">
        <f>IFERROR(VLOOKUP(August[[#This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21" t="str">
        <f>IFERROR(VLOOKUP(August[[#This Row],[Drug Name4]],'Data Options'!$R$1:$S$100,2,FALSE), " ")</f>
        <v xml:space="preserve"> </v>
      </c>
      <c r="AI69" s="32"/>
      <c r="AJ69" s="32"/>
      <c r="AK69" s="53"/>
      <c r="AL69" s="21" t="str">
        <f>IFERROR(VLOOKUP(August[[#This Row],[Drug Name5]],'Data Options'!$R$1:$S$100,2,FALSE), " ")</f>
        <v xml:space="preserve"> </v>
      </c>
      <c r="AM69" s="32"/>
      <c r="AN69" s="32"/>
      <c r="AO69" s="53"/>
      <c r="AP69" s="21" t="str">
        <f>IFERROR(VLOOKUP(August[[#This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21" t="str">
        <f>IFERROR(VLOOKUP(August[[#This Row],[Drug Name7]],'Data Options'!$R$1:$S$100,2,FALSE), " ")</f>
        <v xml:space="preserve"> </v>
      </c>
      <c r="AZ69" s="32"/>
      <c r="BA69" s="32"/>
      <c r="BB69" s="53"/>
      <c r="BC69" s="21" t="str">
        <f>IFERROR(VLOOKUP(August[[#This Row],[Drug Name8]],'Data Options'!$R$1:$S$100,2,FALSE), " ")</f>
        <v xml:space="preserve"> </v>
      </c>
      <c r="BD69" s="32"/>
      <c r="BE69" s="32"/>
      <c r="BF69" s="53"/>
      <c r="BG69" s="21" t="str">
        <f>IFERROR(VLOOKUP(August[[#This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21" t="str">
        <f>IFERROR(VLOOKUP(August[[#This Row],[Drug Name]],'Data Options'!$R$1:$S$100,2,FALSE), " ")</f>
        <v xml:space="preserve"> </v>
      </c>
      <c r="R70" s="32"/>
      <c r="S70" s="32"/>
      <c r="T70" s="53"/>
      <c r="U70" s="21" t="str">
        <f>IFERROR(VLOOKUP(August[[#This Row],[Drug Name2]],'Data Options'!$R$1:$S$100,2,FALSE), " ")</f>
        <v xml:space="preserve"> </v>
      </c>
      <c r="V70" s="32"/>
      <c r="W70" s="32"/>
      <c r="X70" s="53"/>
      <c r="Y70" s="21" t="str">
        <f>IFERROR(VLOOKUP(August[[#This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21" t="str">
        <f>IFERROR(VLOOKUP(August[[#This Row],[Drug Name4]],'Data Options'!$R$1:$S$100,2,FALSE), " ")</f>
        <v xml:space="preserve"> </v>
      </c>
      <c r="AI70" s="32"/>
      <c r="AJ70" s="32"/>
      <c r="AK70" s="53"/>
      <c r="AL70" s="21" t="str">
        <f>IFERROR(VLOOKUP(August[[#This Row],[Drug Name5]],'Data Options'!$R$1:$S$100,2,FALSE), " ")</f>
        <v xml:space="preserve"> </v>
      </c>
      <c r="AM70" s="32"/>
      <c r="AN70" s="32"/>
      <c r="AO70" s="53"/>
      <c r="AP70" s="21" t="str">
        <f>IFERROR(VLOOKUP(August[[#This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21" t="str">
        <f>IFERROR(VLOOKUP(August[[#This Row],[Drug Name7]],'Data Options'!$R$1:$S$100,2,FALSE), " ")</f>
        <v xml:space="preserve"> </v>
      </c>
      <c r="AZ70" s="32"/>
      <c r="BA70" s="32"/>
      <c r="BB70" s="53"/>
      <c r="BC70" s="21" t="str">
        <f>IFERROR(VLOOKUP(August[[#This Row],[Drug Name8]],'Data Options'!$R$1:$S$100,2,FALSE), " ")</f>
        <v xml:space="preserve"> </v>
      </c>
      <c r="BD70" s="32"/>
      <c r="BE70" s="32"/>
      <c r="BF70" s="53"/>
      <c r="BG70" s="21" t="str">
        <f>IFERROR(VLOOKUP(August[[#This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21" t="str">
        <f>IFERROR(VLOOKUP(August[[#This Row],[Drug Name]],'Data Options'!$R$1:$S$100,2,FALSE), " ")</f>
        <v xml:space="preserve"> </v>
      </c>
      <c r="R71" s="32"/>
      <c r="S71" s="32"/>
      <c r="T71" s="53"/>
      <c r="U71" s="21" t="str">
        <f>IFERROR(VLOOKUP(August[[#This Row],[Drug Name2]],'Data Options'!$R$1:$S$100,2,FALSE), " ")</f>
        <v xml:space="preserve"> </v>
      </c>
      <c r="V71" s="32"/>
      <c r="W71" s="32"/>
      <c r="X71" s="53"/>
      <c r="Y71" s="21" t="str">
        <f>IFERROR(VLOOKUP(August[[#This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21" t="str">
        <f>IFERROR(VLOOKUP(August[[#This Row],[Drug Name4]],'Data Options'!$R$1:$S$100,2,FALSE), " ")</f>
        <v xml:space="preserve"> </v>
      </c>
      <c r="AI71" s="32"/>
      <c r="AJ71" s="32"/>
      <c r="AK71" s="53"/>
      <c r="AL71" s="21" t="str">
        <f>IFERROR(VLOOKUP(August[[#This Row],[Drug Name5]],'Data Options'!$R$1:$S$100,2,FALSE), " ")</f>
        <v xml:space="preserve"> </v>
      </c>
      <c r="AM71" s="32"/>
      <c r="AN71" s="32"/>
      <c r="AO71" s="53"/>
      <c r="AP71" s="21" t="str">
        <f>IFERROR(VLOOKUP(August[[#This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21" t="str">
        <f>IFERROR(VLOOKUP(August[[#This Row],[Drug Name7]],'Data Options'!$R$1:$S$100,2,FALSE), " ")</f>
        <v xml:space="preserve"> </v>
      </c>
      <c r="AZ71" s="32"/>
      <c r="BA71" s="32"/>
      <c r="BB71" s="53"/>
      <c r="BC71" s="21" t="str">
        <f>IFERROR(VLOOKUP(August[[#This Row],[Drug Name8]],'Data Options'!$R$1:$S$100,2,FALSE), " ")</f>
        <v xml:space="preserve"> </v>
      </c>
      <c r="BD71" s="32"/>
      <c r="BE71" s="32"/>
      <c r="BF71" s="53"/>
      <c r="BG71" s="21" t="str">
        <f>IFERROR(VLOOKUP(August[[#This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21" t="str">
        <f>IFERROR(VLOOKUP(August[[#This Row],[Drug Name]],'Data Options'!$R$1:$S$100,2,FALSE), " ")</f>
        <v xml:space="preserve"> </v>
      </c>
      <c r="R72" s="32"/>
      <c r="S72" s="32"/>
      <c r="T72" s="53"/>
      <c r="U72" s="21" t="str">
        <f>IFERROR(VLOOKUP(August[[#This Row],[Drug Name2]],'Data Options'!$R$1:$S$100,2,FALSE), " ")</f>
        <v xml:space="preserve"> </v>
      </c>
      <c r="V72" s="32"/>
      <c r="W72" s="32"/>
      <c r="X72" s="53"/>
      <c r="Y72" s="21" t="str">
        <f>IFERROR(VLOOKUP(August[[#This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21" t="str">
        <f>IFERROR(VLOOKUP(August[[#This Row],[Drug Name4]],'Data Options'!$R$1:$S$100,2,FALSE), " ")</f>
        <v xml:space="preserve"> </v>
      </c>
      <c r="AI72" s="32"/>
      <c r="AJ72" s="32"/>
      <c r="AK72" s="53"/>
      <c r="AL72" s="21" t="str">
        <f>IFERROR(VLOOKUP(August[[#This Row],[Drug Name5]],'Data Options'!$R$1:$S$100,2,FALSE), " ")</f>
        <v xml:space="preserve"> </v>
      </c>
      <c r="AM72" s="32"/>
      <c r="AN72" s="32"/>
      <c r="AO72" s="53"/>
      <c r="AP72" s="21" t="str">
        <f>IFERROR(VLOOKUP(August[[#This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21" t="str">
        <f>IFERROR(VLOOKUP(August[[#This Row],[Drug Name7]],'Data Options'!$R$1:$S$100,2,FALSE), " ")</f>
        <v xml:space="preserve"> </v>
      </c>
      <c r="AZ72" s="32"/>
      <c r="BA72" s="32"/>
      <c r="BB72" s="53"/>
      <c r="BC72" s="21" t="str">
        <f>IFERROR(VLOOKUP(August[[#This Row],[Drug Name8]],'Data Options'!$R$1:$S$100,2,FALSE), " ")</f>
        <v xml:space="preserve"> </v>
      </c>
      <c r="BD72" s="32"/>
      <c r="BE72" s="32"/>
      <c r="BF72" s="53"/>
      <c r="BG72" s="21" t="str">
        <f>IFERROR(VLOOKUP(August[[#This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21" t="str">
        <f>IFERROR(VLOOKUP(August[[#This Row],[Drug Name]],'Data Options'!$R$1:$S$100,2,FALSE), " ")</f>
        <v xml:space="preserve"> </v>
      </c>
      <c r="R73" s="32"/>
      <c r="S73" s="32"/>
      <c r="T73" s="53"/>
      <c r="U73" s="21" t="str">
        <f>IFERROR(VLOOKUP(August[[#This Row],[Drug Name2]],'Data Options'!$R$1:$S$100,2,FALSE), " ")</f>
        <v xml:space="preserve"> </v>
      </c>
      <c r="V73" s="32"/>
      <c r="W73" s="32"/>
      <c r="X73" s="53"/>
      <c r="Y73" s="21" t="str">
        <f>IFERROR(VLOOKUP(August[[#This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21" t="str">
        <f>IFERROR(VLOOKUP(August[[#This Row],[Drug Name4]],'Data Options'!$R$1:$S$100,2,FALSE), " ")</f>
        <v xml:space="preserve"> </v>
      </c>
      <c r="AI73" s="32"/>
      <c r="AJ73" s="32"/>
      <c r="AK73" s="53"/>
      <c r="AL73" s="21" t="str">
        <f>IFERROR(VLOOKUP(August[[#This Row],[Drug Name5]],'Data Options'!$R$1:$S$100,2,FALSE), " ")</f>
        <v xml:space="preserve"> </v>
      </c>
      <c r="AM73" s="32"/>
      <c r="AN73" s="32"/>
      <c r="AO73" s="53"/>
      <c r="AP73" s="21" t="str">
        <f>IFERROR(VLOOKUP(August[[#This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21" t="str">
        <f>IFERROR(VLOOKUP(August[[#This Row],[Drug Name7]],'Data Options'!$R$1:$S$100,2,FALSE), " ")</f>
        <v xml:space="preserve"> </v>
      </c>
      <c r="AZ73" s="32"/>
      <c r="BA73" s="32"/>
      <c r="BB73" s="53"/>
      <c r="BC73" s="21" t="str">
        <f>IFERROR(VLOOKUP(August[[#This Row],[Drug Name8]],'Data Options'!$R$1:$S$100,2,FALSE), " ")</f>
        <v xml:space="preserve"> </v>
      </c>
      <c r="BD73" s="32"/>
      <c r="BE73" s="32"/>
      <c r="BF73" s="53"/>
      <c r="BG73" s="21" t="str">
        <f>IFERROR(VLOOKUP(August[[#This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21" t="str">
        <f>IFERROR(VLOOKUP(August[[#This Row],[Drug Name]],'Data Options'!$R$1:$S$100,2,FALSE), " ")</f>
        <v xml:space="preserve"> </v>
      </c>
      <c r="R74" s="32"/>
      <c r="S74" s="32"/>
      <c r="T74" s="53"/>
      <c r="U74" s="21" t="str">
        <f>IFERROR(VLOOKUP(August[[#This Row],[Drug Name2]],'Data Options'!$R$1:$S$100,2,FALSE), " ")</f>
        <v xml:space="preserve"> </v>
      </c>
      <c r="V74" s="32"/>
      <c r="W74" s="32"/>
      <c r="X74" s="53"/>
      <c r="Y74" s="21" t="str">
        <f>IFERROR(VLOOKUP(August[[#This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21" t="str">
        <f>IFERROR(VLOOKUP(August[[#This Row],[Drug Name4]],'Data Options'!$R$1:$S$100,2,FALSE), " ")</f>
        <v xml:space="preserve"> </v>
      </c>
      <c r="AI74" s="32"/>
      <c r="AJ74" s="32"/>
      <c r="AK74" s="53"/>
      <c r="AL74" s="21" t="str">
        <f>IFERROR(VLOOKUP(August[[#This Row],[Drug Name5]],'Data Options'!$R$1:$S$100,2,FALSE), " ")</f>
        <v xml:space="preserve"> </v>
      </c>
      <c r="AM74" s="32"/>
      <c r="AN74" s="32"/>
      <c r="AO74" s="53"/>
      <c r="AP74" s="21" t="str">
        <f>IFERROR(VLOOKUP(August[[#This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21" t="str">
        <f>IFERROR(VLOOKUP(August[[#This Row],[Drug Name7]],'Data Options'!$R$1:$S$100,2,FALSE), " ")</f>
        <v xml:space="preserve"> </v>
      </c>
      <c r="AZ74" s="32"/>
      <c r="BA74" s="32"/>
      <c r="BB74" s="53"/>
      <c r="BC74" s="21" t="str">
        <f>IFERROR(VLOOKUP(August[[#This Row],[Drug Name8]],'Data Options'!$R$1:$S$100,2,FALSE), " ")</f>
        <v xml:space="preserve"> </v>
      </c>
      <c r="BD74" s="32"/>
      <c r="BE74" s="32"/>
      <c r="BF74" s="53"/>
      <c r="BG74" s="21" t="str">
        <f>IFERROR(VLOOKUP(August[[#This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21" t="str">
        <f>IFERROR(VLOOKUP(August[[#This Row],[Drug Name]],'Data Options'!$R$1:$S$100,2,FALSE), " ")</f>
        <v xml:space="preserve"> </v>
      </c>
      <c r="R75" s="32"/>
      <c r="S75" s="32"/>
      <c r="T75" s="53"/>
      <c r="U75" s="21" t="str">
        <f>IFERROR(VLOOKUP(August[[#This Row],[Drug Name2]],'Data Options'!$R$1:$S$100,2,FALSE), " ")</f>
        <v xml:space="preserve"> </v>
      </c>
      <c r="V75" s="32"/>
      <c r="W75" s="32"/>
      <c r="X75" s="53"/>
      <c r="Y75" s="21" t="str">
        <f>IFERROR(VLOOKUP(August[[#This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21" t="str">
        <f>IFERROR(VLOOKUP(August[[#This Row],[Drug Name4]],'Data Options'!$R$1:$S$100,2,FALSE), " ")</f>
        <v xml:space="preserve"> </v>
      </c>
      <c r="AI75" s="32"/>
      <c r="AJ75" s="32"/>
      <c r="AK75" s="53"/>
      <c r="AL75" s="21" t="str">
        <f>IFERROR(VLOOKUP(August[[#This Row],[Drug Name5]],'Data Options'!$R$1:$S$100,2,FALSE), " ")</f>
        <v xml:space="preserve"> </v>
      </c>
      <c r="AM75" s="32"/>
      <c r="AN75" s="32"/>
      <c r="AO75" s="53"/>
      <c r="AP75" s="21" t="str">
        <f>IFERROR(VLOOKUP(August[[#This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21" t="str">
        <f>IFERROR(VLOOKUP(August[[#This Row],[Drug Name7]],'Data Options'!$R$1:$S$100,2,FALSE), " ")</f>
        <v xml:space="preserve"> </v>
      </c>
      <c r="AZ75" s="32"/>
      <c r="BA75" s="32"/>
      <c r="BB75" s="53"/>
      <c r="BC75" s="21" t="str">
        <f>IFERROR(VLOOKUP(August[[#This Row],[Drug Name8]],'Data Options'!$R$1:$S$100,2,FALSE), " ")</f>
        <v xml:space="preserve"> </v>
      </c>
      <c r="BD75" s="32"/>
      <c r="BE75" s="32"/>
      <c r="BF75" s="53"/>
      <c r="BG75" s="21" t="str">
        <f>IFERROR(VLOOKUP(August[[#This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21" t="str">
        <f>IFERROR(VLOOKUP(August[[#This Row],[Drug Name]],'Data Options'!$R$1:$S$100,2,FALSE), " ")</f>
        <v xml:space="preserve"> </v>
      </c>
      <c r="R76" s="32"/>
      <c r="S76" s="32"/>
      <c r="T76" s="53"/>
      <c r="U76" s="21" t="str">
        <f>IFERROR(VLOOKUP(August[[#This Row],[Drug Name2]],'Data Options'!$R$1:$S$100,2,FALSE), " ")</f>
        <v xml:space="preserve"> </v>
      </c>
      <c r="V76" s="32"/>
      <c r="W76" s="32"/>
      <c r="X76" s="53"/>
      <c r="Y76" s="21" t="str">
        <f>IFERROR(VLOOKUP(August[[#This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21" t="str">
        <f>IFERROR(VLOOKUP(August[[#This Row],[Drug Name4]],'Data Options'!$R$1:$S$100,2,FALSE), " ")</f>
        <v xml:space="preserve"> </v>
      </c>
      <c r="AI76" s="32"/>
      <c r="AJ76" s="32"/>
      <c r="AK76" s="53"/>
      <c r="AL76" s="21" t="str">
        <f>IFERROR(VLOOKUP(August[[#This Row],[Drug Name5]],'Data Options'!$R$1:$S$100,2,FALSE), " ")</f>
        <v xml:space="preserve"> </v>
      </c>
      <c r="AM76" s="32"/>
      <c r="AN76" s="32"/>
      <c r="AO76" s="53"/>
      <c r="AP76" s="21" t="str">
        <f>IFERROR(VLOOKUP(August[[#This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21" t="str">
        <f>IFERROR(VLOOKUP(August[[#This Row],[Drug Name7]],'Data Options'!$R$1:$S$100,2,FALSE), " ")</f>
        <v xml:space="preserve"> </v>
      </c>
      <c r="AZ76" s="32"/>
      <c r="BA76" s="32"/>
      <c r="BB76" s="53"/>
      <c r="BC76" s="21" t="str">
        <f>IFERROR(VLOOKUP(August[[#This Row],[Drug Name8]],'Data Options'!$R$1:$S$100,2,FALSE), " ")</f>
        <v xml:space="preserve"> </v>
      </c>
      <c r="BD76" s="32"/>
      <c r="BE76" s="32"/>
      <c r="BF76" s="53"/>
      <c r="BG76" s="21" t="str">
        <f>IFERROR(VLOOKUP(August[[#This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21" t="str">
        <f>IFERROR(VLOOKUP(August[[#This Row],[Drug Name]],'Data Options'!$R$1:$S$100,2,FALSE), " ")</f>
        <v xml:space="preserve"> </v>
      </c>
      <c r="R77" s="32"/>
      <c r="S77" s="32"/>
      <c r="T77" s="53"/>
      <c r="U77" s="21" t="str">
        <f>IFERROR(VLOOKUP(August[[#This Row],[Drug Name2]],'Data Options'!$R$1:$S$100,2,FALSE), " ")</f>
        <v xml:space="preserve"> </v>
      </c>
      <c r="V77" s="32"/>
      <c r="W77" s="32"/>
      <c r="X77" s="53"/>
      <c r="Y77" s="21" t="str">
        <f>IFERROR(VLOOKUP(August[[#This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21" t="str">
        <f>IFERROR(VLOOKUP(August[[#This Row],[Drug Name4]],'Data Options'!$R$1:$S$100,2,FALSE), " ")</f>
        <v xml:space="preserve"> </v>
      </c>
      <c r="AI77" s="32"/>
      <c r="AJ77" s="32"/>
      <c r="AK77" s="53"/>
      <c r="AL77" s="21" t="str">
        <f>IFERROR(VLOOKUP(August[[#This Row],[Drug Name5]],'Data Options'!$R$1:$S$100,2,FALSE), " ")</f>
        <v xml:space="preserve"> </v>
      </c>
      <c r="AM77" s="32"/>
      <c r="AN77" s="32"/>
      <c r="AO77" s="53"/>
      <c r="AP77" s="21" t="str">
        <f>IFERROR(VLOOKUP(August[[#This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21" t="str">
        <f>IFERROR(VLOOKUP(August[[#This Row],[Drug Name7]],'Data Options'!$R$1:$S$100,2,FALSE), " ")</f>
        <v xml:space="preserve"> </v>
      </c>
      <c r="AZ77" s="32"/>
      <c r="BA77" s="32"/>
      <c r="BB77" s="53"/>
      <c r="BC77" s="21" t="str">
        <f>IFERROR(VLOOKUP(August[[#This Row],[Drug Name8]],'Data Options'!$R$1:$S$100,2,FALSE), " ")</f>
        <v xml:space="preserve"> </v>
      </c>
      <c r="BD77" s="32"/>
      <c r="BE77" s="32"/>
      <c r="BF77" s="53"/>
      <c r="BG77" s="21" t="str">
        <f>IFERROR(VLOOKUP(August[[#This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21" t="str">
        <f>IFERROR(VLOOKUP(August[[#This Row],[Drug Name]],'Data Options'!$R$1:$S$100,2,FALSE), " ")</f>
        <v xml:space="preserve"> </v>
      </c>
      <c r="R78" s="32"/>
      <c r="S78" s="32"/>
      <c r="T78" s="53"/>
      <c r="U78" s="21" t="str">
        <f>IFERROR(VLOOKUP(August[[#This Row],[Drug Name2]],'Data Options'!$R$1:$S$100,2,FALSE), " ")</f>
        <v xml:space="preserve"> </v>
      </c>
      <c r="V78" s="32"/>
      <c r="W78" s="32"/>
      <c r="X78" s="53"/>
      <c r="Y78" s="21" t="str">
        <f>IFERROR(VLOOKUP(August[[#This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21" t="str">
        <f>IFERROR(VLOOKUP(August[[#This Row],[Drug Name4]],'Data Options'!$R$1:$S$100,2,FALSE), " ")</f>
        <v xml:space="preserve"> </v>
      </c>
      <c r="AI78" s="32"/>
      <c r="AJ78" s="32"/>
      <c r="AK78" s="53"/>
      <c r="AL78" s="21" t="str">
        <f>IFERROR(VLOOKUP(August[[#This Row],[Drug Name5]],'Data Options'!$R$1:$S$100,2,FALSE), " ")</f>
        <v xml:space="preserve"> </v>
      </c>
      <c r="AM78" s="32"/>
      <c r="AN78" s="32"/>
      <c r="AO78" s="53"/>
      <c r="AP78" s="21" t="str">
        <f>IFERROR(VLOOKUP(August[[#This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21" t="str">
        <f>IFERROR(VLOOKUP(August[[#This Row],[Drug Name7]],'Data Options'!$R$1:$S$100,2,FALSE), " ")</f>
        <v xml:space="preserve"> </v>
      </c>
      <c r="AZ78" s="32"/>
      <c r="BA78" s="32"/>
      <c r="BB78" s="53"/>
      <c r="BC78" s="21" t="str">
        <f>IFERROR(VLOOKUP(August[[#This Row],[Drug Name8]],'Data Options'!$R$1:$S$100,2,FALSE), " ")</f>
        <v xml:space="preserve"> </v>
      </c>
      <c r="BD78" s="32"/>
      <c r="BE78" s="32"/>
      <c r="BF78" s="53"/>
      <c r="BG78" s="21" t="str">
        <f>IFERROR(VLOOKUP(August[[#This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21" t="str">
        <f>IFERROR(VLOOKUP(August[[#This Row],[Drug Name]],'Data Options'!$R$1:$S$100,2,FALSE), " ")</f>
        <v xml:space="preserve"> </v>
      </c>
      <c r="R79" s="32"/>
      <c r="S79" s="32"/>
      <c r="T79" s="53"/>
      <c r="U79" s="21" t="str">
        <f>IFERROR(VLOOKUP(August[[#This Row],[Drug Name2]],'Data Options'!$R$1:$S$100,2,FALSE), " ")</f>
        <v xml:space="preserve"> </v>
      </c>
      <c r="V79" s="32"/>
      <c r="W79" s="32"/>
      <c r="X79" s="53"/>
      <c r="Y79" s="21" t="str">
        <f>IFERROR(VLOOKUP(August[[#This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21" t="str">
        <f>IFERROR(VLOOKUP(August[[#This Row],[Drug Name4]],'Data Options'!$R$1:$S$100,2,FALSE), " ")</f>
        <v xml:space="preserve"> </v>
      </c>
      <c r="AI79" s="32"/>
      <c r="AJ79" s="32"/>
      <c r="AK79" s="53"/>
      <c r="AL79" s="21" t="str">
        <f>IFERROR(VLOOKUP(August[[#This Row],[Drug Name5]],'Data Options'!$R$1:$S$100,2,FALSE), " ")</f>
        <v xml:space="preserve"> </v>
      </c>
      <c r="AM79" s="32"/>
      <c r="AN79" s="32"/>
      <c r="AO79" s="53"/>
      <c r="AP79" s="21" t="str">
        <f>IFERROR(VLOOKUP(August[[#This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21" t="str">
        <f>IFERROR(VLOOKUP(August[[#This Row],[Drug Name7]],'Data Options'!$R$1:$S$100,2,FALSE), " ")</f>
        <v xml:space="preserve"> </v>
      </c>
      <c r="AZ79" s="32"/>
      <c r="BA79" s="32"/>
      <c r="BB79" s="53"/>
      <c r="BC79" s="21" t="str">
        <f>IFERROR(VLOOKUP(August[[#This Row],[Drug Name8]],'Data Options'!$R$1:$S$100,2,FALSE), " ")</f>
        <v xml:space="preserve"> </v>
      </c>
      <c r="BD79" s="32"/>
      <c r="BE79" s="32"/>
      <c r="BF79" s="53"/>
      <c r="BG79" s="21" t="str">
        <f>IFERROR(VLOOKUP(August[[#This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21" t="str">
        <f>IFERROR(VLOOKUP(August[[#This Row],[Drug Name]],'Data Options'!$R$1:$S$100,2,FALSE), " ")</f>
        <v xml:space="preserve"> </v>
      </c>
      <c r="R80" s="32"/>
      <c r="S80" s="32"/>
      <c r="T80" s="53"/>
      <c r="U80" s="21" t="str">
        <f>IFERROR(VLOOKUP(August[[#This Row],[Drug Name2]],'Data Options'!$R$1:$S$100,2,FALSE), " ")</f>
        <v xml:space="preserve"> </v>
      </c>
      <c r="V80" s="32"/>
      <c r="W80" s="32"/>
      <c r="X80" s="53"/>
      <c r="Y80" s="21" t="str">
        <f>IFERROR(VLOOKUP(August[[#This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21" t="str">
        <f>IFERROR(VLOOKUP(August[[#This Row],[Drug Name4]],'Data Options'!$R$1:$S$100,2,FALSE), " ")</f>
        <v xml:space="preserve"> </v>
      </c>
      <c r="AI80" s="32"/>
      <c r="AJ80" s="32"/>
      <c r="AK80" s="53"/>
      <c r="AL80" s="21" t="str">
        <f>IFERROR(VLOOKUP(August[[#This Row],[Drug Name5]],'Data Options'!$R$1:$S$100,2,FALSE), " ")</f>
        <v xml:space="preserve"> </v>
      </c>
      <c r="AM80" s="32"/>
      <c r="AN80" s="32"/>
      <c r="AO80" s="53"/>
      <c r="AP80" s="21" t="str">
        <f>IFERROR(VLOOKUP(August[[#This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21" t="str">
        <f>IFERROR(VLOOKUP(August[[#This Row],[Drug Name7]],'Data Options'!$R$1:$S$100,2,FALSE), " ")</f>
        <v xml:space="preserve"> </v>
      </c>
      <c r="AZ80" s="32"/>
      <c r="BA80" s="32"/>
      <c r="BB80" s="53"/>
      <c r="BC80" s="21" t="str">
        <f>IFERROR(VLOOKUP(August[[#This Row],[Drug Name8]],'Data Options'!$R$1:$S$100,2,FALSE), " ")</f>
        <v xml:space="preserve"> </v>
      </c>
      <c r="BD80" s="32"/>
      <c r="BE80" s="32"/>
      <c r="BF80" s="53"/>
      <c r="BG80" s="21" t="str">
        <f>IFERROR(VLOOKUP(August[[#This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21" t="str">
        <f>IFERROR(VLOOKUP(August[[#This Row],[Drug Name]],'Data Options'!$R$1:$S$100,2,FALSE), " ")</f>
        <v xml:space="preserve"> </v>
      </c>
      <c r="R81" s="32"/>
      <c r="S81" s="32"/>
      <c r="T81" s="53"/>
      <c r="U81" s="21" t="str">
        <f>IFERROR(VLOOKUP(August[[#This Row],[Drug Name2]],'Data Options'!$R$1:$S$100,2,FALSE), " ")</f>
        <v xml:space="preserve"> </v>
      </c>
      <c r="V81" s="32"/>
      <c r="W81" s="32"/>
      <c r="X81" s="53"/>
      <c r="Y81" s="21" t="str">
        <f>IFERROR(VLOOKUP(August[[#This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21" t="str">
        <f>IFERROR(VLOOKUP(August[[#This Row],[Drug Name4]],'Data Options'!$R$1:$S$100,2,FALSE), " ")</f>
        <v xml:space="preserve"> </v>
      </c>
      <c r="AI81" s="32"/>
      <c r="AJ81" s="32"/>
      <c r="AK81" s="53"/>
      <c r="AL81" s="21" t="str">
        <f>IFERROR(VLOOKUP(August[[#This Row],[Drug Name5]],'Data Options'!$R$1:$S$100,2,FALSE), " ")</f>
        <v xml:space="preserve"> </v>
      </c>
      <c r="AM81" s="32"/>
      <c r="AN81" s="32"/>
      <c r="AO81" s="53"/>
      <c r="AP81" s="21" t="str">
        <f>IFERROR(VLOOKUP(August[[#This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21" t="str">
        <f>IFERROR(VLOOKUP(August[[#This Row],[Drug Name7]],'Data Options'!$R$1:$S$100,2,FALSE), " ")</f>
        <v xml:space="preserve"> </v>
      </c>
      <c r="AZ81" s="32"/>
      <c r="BA81" s="32"/>
      <c r="BB81" s="53"/>
      <c r="BC81" s="21" t="str">
        <f>IFERROR(VLOOKUP(August[[#This Row],[Drug Name8]],'Data Options'!$R$1:$S$100,2,FALSE), " ")</f>
        <v xml:space="preserve"> </v>
      </c>
      <c r="BD81" s="32"/>
      <c r="BE81" s="32"/>
      <c r="BF81" s="53"/>
      <c r="BG81" s="21" t="str">
        <f>IFERROR(VLOOKUP(August[[#This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21" t="str">
        <f>IFERROR(VLOOKUP(August[[#This Row],[Drug Name]],'Data Options'!$R$1:$S$100,2,FALSE), " ")</f>
        <v xml:space="preserve"> </v>
      </c>
      <c r="R82" s="32"/>
      <c r="S82" s="32"/>
      <c r="T82" s="53"/>
      <c r="U82" s="21" t="str">
        <f>IFERROR(VLOOKUP(August[[#This Row],[Drug Name2]],'Data Options'!$R$1:$S$100,2,FALSE), " ")</f>
        <v xml:space="preserve"> </v>
      </c>
      <c r="V82" s="32"/>
      <c r="W82" s="32"/>
      <c r="X82" s="53"/>
      <c r="Y82" s="21" t="str">
        <f>IFERROR(VLOOKUP(August[[#This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21" t="str">
        <f>IFERROR(VLOOKUP(August[[#This Row],[Drug Name4]],'Data Options'!$R$1:$S$100,2,FALSE), " ")</f>
        <v xml:space="preserve"> </v>
      </c>
      <c r="AI82" s="32"/>
      <c r="AJ82" s="32"/>
      <c r="AK82" s="53"/>
      <c r="AL82" s="21" t="str">
        <f>IFERROR(VLOOKUP(August[[#This Row],[Drug Name5]],'Data Options'!$R$1:$S$100,2,FALSE), " ")</f>
        <v xml:space="preserve"> </v>
      </c>
      <c r="AM82" s="32"/>
      <c r="AN82" s="32"/>
      <c r="AO82" s="53"/>
      <c r="AP82" s="21" t="str">
        <f>IFERROR(VLOOKUP(August[[#This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21" t="str">
        <f>IFERROR(VLOOKUP(August[[#This Row],[Drug Name7]],'Data Options'!$R$1:$S$100,2,FALSE), " ")</f>
        <v xml:space="preserve"> </v>
      </c>
      <c r="AZ82" s="32"/>
      <c r="BA82" s="32"/>
      <c r="BB82" s="53"/>
      <c r="BC82" s="21" t="str">
        <f>IFERROR(VLOOKUP(August[[#This Row],[Drug Name8]],'Data Options'!$R$1:$S$100,2,FALSE), " ")</f>
        <v xml:space="preserve"> </v>
      </c>
      <c r="BD82" s="32"/>
      <c r="BE82" s="32"/>
      <c r="BF82" s="53"/>
      <c r="BG82" s="21" t="str">
        <f>IFERROR(VLOOKUP(August[[#This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21" t="str">
        <f>IFERROR(VLOOKUP(August[[#This Row],[Drug Name]],'Data Options'!$R$1:$S$100,2,FALSE), " ")</f>
        <v xml:space="preserve"> </v>
      </c>
      <c r="R83" s="32"/>
      <c r="S83" s="32"/>
      <c r="T83" s="53"/>
      <c r="U83" s="21" t="str">
        <f>IFERROR(VLOOKUP(August[[#This Row],[Drug Name2]],'Data Options'!$R$1:$S$100,2,FALSE), " ")</f>
        <v xml:space="preserve"> </v>
      </c>
      <c r="V83" s="32"/>
      <c r="W83" s="32"/>
      <c r="X83" s="53"/>
      <c r="Y83" s="21" t="str">
        <f>IFERROR(VLOOKUP(August[[#This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21" t="str">
        <f>IFERROR(VLOOKUP(August[[#This Row],[Drug Name4]],'Data Options'!$R$1:$S$100,2,FALSE), " ")</f>
        <v xml:space="preserve"> </v>
      </c>
      <c r="AI83" s="32"/>
      <c r="AJ83" s="32"/>
      <c r="AK83" s="53"/>
      <c r="AL83" s="21" t="str">
        <f>IFERROR(VLOOKUP(August[[#This Row],[Drug Name5]],'Data Options'!$R$1:$S$100,2,FALSE), " ")</f>
        <v xml:space="preserve"> </v>
      </c>
      <c r="AM83" s="32"/>
      <c r="AN83" s="32"/>
      <c r="AO83" s="53"/>
      <c r="AP83" s="21" t="str">
        <f>IFERROR(VLOOKUP(August[[#This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21" t="str">
        <f>IFERROR(VLOOKUP(August[[#This Row],[Drug Name7]],'Data Options'!$R$1:$S$100,2,FALSE), " ")</f>
        <v xml:space="preserve"> </v>
      </c>
      <c r="AZ83" s="32"/>
      <c r="BA83" s="32"/>
      <c r="BB83" s="53"/>
      <c r="BC83" s="21" t="str">
        <f>IFERROR(VLOOKUP(August[[#This Row],[Drug Name8]],'Data Options'!$R$1:$S$100,2,FALSE), " ")</f>
        <v xml:space="preserve"> </v>
      </c>
      <c r="BD83" s="32"/>
      <c r="BE83" s="32"/>
      <c r="BF83" s="53"/>
      <c r="BG83" s="21" t="str">
        <f>IFERROR(VLOOKUP(August[[#This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21" t="str">
        <f>IFERROR(VLOOKUP(August[[#This Row],[Drug Name]],'Data Options'!$R$1:$S$100,2,FALSE), " ")</f>
        <v xml:space="preserve"> </v>
      </c>
      <c r="R84" s="32"/>
      <c r="S84" s="32"/>
      <c r="T84" s="53"/>
      <c r="U84" s="21" t="str">
        <f>IFERROR(VLOOKUP(August[[#This Row],[Drug Name2]],'Data Options'!$R$1:$S$100,2,FALSE), " ")</f>
        <v xml:space="preserve"> </v>
      </c>
      <c r="V84" s="32"/>
      <c r="W84" s="32"/>
      <c r="X84" s="53"/>
      <c r="Y84" s="21" t="str">
        <f>IFERROR(VLOOKUP(August[[#This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21" t="str">
        <f>IFERROR(VLOOKUP(August[[#This Row],[Drug Name4]],'Data Options'!$R$1:$S$100,2,FALSE), " ")</f>
        <v xml:space="preserve"> </v>
      </c>
      <c r="AI84" s="32"/>
      <c r="AJ84" s="32"/>
      <c r="AK84" s="53"/>
      <c r="AL84" s="21" t="str">
        <f>IFERROR(VLOOKUP(August[[#This Row],[Drug Name5]],'Data Options'!$R$1:$S$100,2,FALSE), " ")</f>
        <v xml:space="preserve"> </v>
      </c>
      <c r="AM84" s="32"/>
      <c r="AN84" s="32"/>
      <c r="AO84" s="53"/>
      <c r="AP84" s="21" t="str">
        <f>IFERROR(VLOOKUP(August[[#This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21" t="str">
        <f>IFERROR(VLOOKUP(August[[#This Row],[Drug Name7]],'Data Options'!$R$1:$S$100,2,FALSE), " ")</f>
        <v xml:space="preserve"> </v>
      </c>
      <c r="AZ84" s="32"/>
      <c r="BA84" s="32"/>
      <c r="BB84" s="53"/>
      <c r="BC84" s="21" t="str">
        <f>IFERROR(VLOOKUP(August[[#This Row],[Drug Name8]],'Data Options'!$R$1:$S$100,2,FALSE), " ")</f>
        <v xml:space="preserve"> </v>
      </c>
      <c r="BD84" s="32"/>
      <c r="BE84" s="32"/>
      <c r="BF84" s="53"/>
      <c r="BG84" s="21" t="str">
        <f>IFERROR(VLOOKUP(August[[#This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21" t="str">
        <f>IFERROR(VLOOKUP(August[[#This Row],[Drug Name]],'Data Options'!$R$1:$S$100,2,FALSE), " ")</f>
        <v xml:space="preserve"> </v>
      </c>
      <c r="R85" s="32"/>
      <c r="S85" s="32"/>
      <c r="T85" s="53"/>
      <c r="U85" s="21" t="str">
        <f>IFERROR(VLOOKUP(August[[#This Row],[Drug Name2]],'Data Options'!$R$1:$S$100,2,FALSE), " ")</f>
        <v xml:space="preserve"> </v>
      </c>
      <c r="V85" s="32"/>
      <c r="W85" s="32"/>
      <c r="X85" s="53"/>
      <c r="Y85" s="21" t="str">
        <f>IFERROR(VLOOKUP(August[[#This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21" t="str">
        <f>IFERROR(VLOOKUP(August[[#This Row],[Drug Name4]],'Data Options'!$R$1:$S$100,2,FALSE), " ")</f>
        <v xml:space="preserve"> </v>
      </c>
      <c r="AI85" s="32"/>
      <c r="AJ85" s="32"/>
      <c r="AK85" s="53"/>
      <c r="AL85" s="21" t="str">
        <f>IFERROR(VLOOKUP(August[[#This Row],[Drug Name5]],'Data Options'!$R$1:$S$100,2,FALSE), " ")</f>
        <v xml:space="preserve"> </v>
      </c>
      <c r="AM85" s="32"/>
      <c r="AN85" s="32"/>
      <c r="AO85" s="53"/>
      <c r="AP85" s="21" t="str">
        <f>IFERROR(VLOOKUP(August[[#This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21" t="str">
        <f>IFERROR(VLOOKUP(August[[#This Row],[Drug Name7]],'Data Options'!$R$1:$S$100,2,FALSE), " ")</f>
        <v xml:space="preserve"> </v>
      </c>
      <c r="AZ85" s="32"/>
      <c r="BA85" s="32"/>
      <c r="BB85" s="53"/>
      <c r="BC85" s="21" t="str">
        <f>IFERROR(VLOOKUP(August[[#This Row],[Drug Name8]],'Data Options'!$R$1:$S$100,2,FALSE), " ")</f>
        <v xml:space="preserve"> </v>
      </c>
      <c r="BD85" s="32"/>
      <c r="BE85" s="32"/>
      <c r="BF85" s="53"/>
      <c r="BG85" s="21" t="str">
        <f>IFERROR(VLOOKUP(August[[#This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21" t="str">
        <f>IFERROR(VLOOKUP(August[[#This Row],[Drug Name]],'Data Options'!$R$1:$S$100,2,FALSE), " ")</f>
        <v xml:space="preserve"> </v>
      </c>
      <c r="R86" s="32"/>
      <c r="S86" s="32"/>
      <c r="T86" s="53"/>
      <c r="U86" s="21" t="str">
        <f>IFERROR(VLOOKUP(August[[#This Row],[Drug Name2]],'Data Options'!$R$1:$S$100,2,FALSE), " ")</f>
        <v xml:space="preserve"> </v>
      </c>
      <c r="V86" s="32"/>
      <c r="W86" s="32"/>
      <c r="X86" s="53"/>
      <c r="Y86" s="21" t="str">
        <f>IFERROR(VLOOKUP(August[[#This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21" t="str">
        <f>IFERROR(VLOOKUP(August[[#This Row],[Drug Name4]],'Data Options'!$R$1:$S$100,2,FALSE), " ")</f>
        <v xml:space="preserve"> </v>
      </c>
      <c r="AI86" s="32"/>
      <c r="AJ86" s="32"/>
      <c r="AK86" s="53"/>
      <c r="AL86" s="21" t="str">
        <f>IFERROR(VLOOKUP(August[[#This Row],[Drug Name5]],'Data Options'!$R$1:$S$100,2,FALSE), " ")</f>
        <v xml:space="preserve"> </v>
      </c>
      <c r="AM86" s="32"/>
      <c r="AN86" s="32"/>
      <c r="AO86" s="53"/>
      <c r="AP86" s="21" t="str">
        <f>IFERROR(VLOOKUP(August[[#This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21" t="str">
        <f>IFERROR(VLOOKUP(August[[#This Row],[Drug Name7]],'Data Options'!$R$1:$S$100,2,FALSE), " ")</f>
        <v xml:space="preserve"> </v>
      </c>
      <c r="AZ86" s="32"/>
      <c r="BA86" s="32"/>
      <c r="BB86" s="53"/>
      <c r="BC86" s="21" t="str">
        <f>IFERROR(VLOOKUP(August[[#This Row],[Drug Name8]],'Data Options'!$R$1:$S$100,2,FALSE), " ")</f>
        <v xml:space="preserve"> </v>
      </c>
      <c r="BD86" s="32"/>
      <c r="BE86" s="32"/>
      <c r="BF86" s="53"/>
      <c r="BG86" s="21" t="str">
        <f>IFERROR(VLOOKUP(August[[#This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21" t="str">
        <f>IFERROR(VLOOKUP(August[[#This Row],[Drug Name]],'Data Options'!$R$1:$S$100,2,FALSE), " ")</f>
        <v xml:space="preserve"> </v>
      </c>
      <c r="R87" s="32"/>
      <c r="S87" s="32"/>
      <c r="T87" s="53"/>
      <c r="U87" s="21" t="str">
        <f>IFERROR(VLOOKUP(August[[#This Row],[Drug Name2]],'Data Options'!$R$1:$S$100,2,FALSE), " ")</f>
        <v xml:space="preserve"> </v>
      </c>
      <c r="V87" s="32"/>
      <c r="W87" s="32"/>
      <c r="X87" s="53"/>
      <c r="Y87" s="21" t="str">
        <f>IFERROR(VLOOKUP(August[[#This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21" t="str">
        <f>IFERROR(VLOOKUP(August[[#This Row],[Drug Name4]],'Data Options'!$R$1:$S$100,2,FALSE), " ")</f>
        <v xml:space="preserve"> </v>
      </c>
      <c r="AI87" s="32"/>
      <c r="AJ87" s="32"/>
      <c r="AK87" s="53"/>
      <c r="AL87" s="21" t="str">
        <f>IFERROR(VLOOKUP(August[[#This Row],[Drug Name5]],'Data Options'!$R$1:$S$100,2,FALSE), " ")</f>
        <v xml:space="preserve"> </v>
      </c>
      <c r="AM87" s="32"/>
      <c r="AN87" s="32"/>
      <c r="AO87" s="53"/>
      <c r="AP87" s="21" t="str">
        <f>IFERROR(VLOOKUP(August[[#This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21" t="str">
        <f>IFERROR(VLOOKUP(August[[#This Row],[Drug Name7]],'Data Options'!$R$1:$S$100,2,FALSE), " ")</f>
        <v xml:space="preserve"> </v>
      </c>
      <c r="AZ87" s="32"/>
      <c r="BA87" s="32"/>
      <c r="BB87" s="53"/>
      <c r="BC87" s="21" t="str">
        <f>IFERROR(VLOOKUP(August[[#This Row],[Drug Name8]],'Data Options'!$R$1:$S$100,2,FALSE), " ")</f>
        <v xml:space="preserve"> </v>
      </c>
      <c r="BD87" s="32"/>
      <c r="BE87" s="32"/>
      <c r="BF87" s="53"/>
      <c r="BG87" s="21" t="str">
        <f>IFERROR(VLOOKUP(August[[#This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21" t="str">
        <f>IFERROR(VLOOKUP(August[[#This Row],[Drug Name]],'Data Options'!$R$1:$S$100,2,FALSE), " ")</f>
        <v xml:space="preserve"> </v>
      </c>
      <c r="R88" s="32"/>
      <c r="S88" s="32"/>
      <c r="T88" s="53"/>
      <c r="U88" s="21" t="str">
        <f>IFERROR(VLOOKUP(August[[#This Row],[Drug Name2]],'Data Options'!$R$1:$S$100,2,FALSE), " ")</f>
        <v xml:space="preserve"> </v>
      </c>
      <c r="V88" s="32"/>
      <c r="W88" s="32"/>
      <c r="X88" s="53"/>
      <c r="Y88" s="21" t="str">
        <f>IFERROR(VLOOKUP(August[[#This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21" t="str">
        <f>IFERROR(VLOOKUP(August[[#This Row],[Drug Name4]],'Data Options'!$R$1:$S$100,2,FALSE), " ")</f>
        <v xml:space="preserve"> </v>
      </c>
      <c r="AI88" s="32"/>
      <c r="AJ88" s="32"/>
      <c r="AK88" s="53"/>
      <c r="AL88" s="21" t="str">
        <f>IFERROR(VLOOKUP(August[[#This Row],[Drug Name5]],'Data Options'!$R$1:$S$100,2,FALSE), " ")</f>
        <v xml:space="preserve"> </v>
      </c>
      <c r="AM88" s="32"/>
      <c r="AN88" s="32"/>
      <c r="AO88" s="53"/>
      <c r="AP88" s="21" t="str">
        <f>IFERROR(VLOOKUP(August[[#This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21" t="str">
        <f>IFERROR(VLOOKUP(August[[#This Row],[Drug Name7]],'Data Options'!$R$1:$S$100,2,FALSE), " ")</f>
        <v xml:space="preserve"> </v>
      </c>
      <c r="AZ88" s="32"/>
      <c r="BA88" s="32"/>
      <c r="BB88" s="53"/>
      <c r="BC88" s="21" t="str">
        <f>IFERROR(VLOOKUP(August[[#This Row],[Drug Name8]],'Data Options'!$R$1:$S$100,2,FALSE), " ")</f>
        <v xml:space="preserve"> </v>
      </c>
      <c r="BD88" s="32"/>
      <c r="BE88" s="32"/>
      <c r="BF88" s="53"/>
      <c r="BG88" s="21" t="str">
        <f>IFERROR(VLOOKUP(August[[#This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21" t="str">
        <f>IFERROR(VLOOKUP(August[[#This Row],[Drug Name]],'Data Options'!$R$1:$S$100,2,FALSE), " ")</f>
        <v xml:space="preserve"> </v>
      </c>
      <c r="R89" s="32"/>
      <c r="S89" s="32"/>
      <c r="T89" s="53"/>
      <c r="U89" s="21" t="str">
        <f>IFERROR(VLOOKUP(August[[#This Row],[Drug Name2]],'Data Options'!$R$1:$S$100,2,FALSE), " ")</f>
        <v xml:space="preserve"> </v>
      </c>
      <c r="V89" s="32"/>
      <c r="W89" s="32"/>
      <c r="X89" s="53"/>
      <c r="Y89" s="21" t="str">
        <f>IFERROR(VLOOKUP(August[[#This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21" t="str">
        <f>IFERROR(VLOOKUP(August[[#This Row],[Drug Name4]],'Data Options'!$R$1:$S$100,2,FALSE), " ")</f>
        <v xml:space="preserve"> </v>
      </c>
      <c r="AI89" s="32"/>
      <c r="AJ89" s="32"/>
      <c r="AK89" s="53"/>
      <c r="AL89" s="21" t="str">
        <f>IFERROR(VLOOKUP(August[[#This Row],[Drug Name5]],'Data Options'!$R$1:$S$100,2,FALSE), " ")</f>
        <v xml:space="preserve"> </v>
      </c>
      <c r="AM89" s="32"/>
      <c r="AN89" s="32"/>
      <c r="AO89" s="53"/>
      <c r="AP89" s="21" t="str">
        <f>IFERROR(VLOOKUP(August[[#This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21" t="str">
        <f>IFERROR(VLOOKUP(August[[#This Row],[Drug Name7]],'Data Options'!$R$1:$S$100,2,FALSE), " ")</f>
        <v xml:space="preserve"> </v>
      </c>
      <c r="AZ89" s="32"/>
      <c r="BA89" s="32"/>
      <c r="BB89" s="53"/>
      <c r="BC89" s="21" t="str">
        <f>IFERROR(VLOOKUP(August[[#This Row],[Drug Name8]],'Data Options'!$R$1:$S$100,2,FALSE), " ")</f>
        <v xml:space="preserve"> </v>
      </c>
      <c r="BD89" s="32"/>
      <c r="BE89" s="32"/>
      <c r="BF89" s="53"/>
      <c r="BG89" s="21" t="str">
        <f>IFERROR(VLOOKUP(August[[#This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21" t="str">
        <f>IFERROR(VLOOKUP(August[[#This Row],[Drug Name]],'Data Options'!$R$1:$S$100,2,FALSE), " ")</f>
        <v xml:space="preserve"> </v>
      </c>
      <c r="R90" s="32"/>
      <c r="S90" s="32"/>
      <c r="T90" s="53"/>
      <c r="U90" s="21" t="str">
        <f>IFERROR(VLOOKUP(August[[#This Row],[Drug Name2]],'Data Options'!$R$1:$S$100,2,FALSE), " ")</f>
        <v xml:space="preserve"> </v>
      </c>
      <c r="V90" s="32"/>
      <c r="W90" s="32"/>
      <c r="X90" s="53"/>
      <c r="Y90" s="21" t="str">
        <f>IFERROR(VLOOKUP(August[[#This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21" t="str">
        <f>IFERROR(VLOOKUP(August[[#This Row],[Drug Name4]],'Data Options'!$R$1:$S$100,2,FALSE), " ")</f>
        <v xml:space="preserve"> </v>
      </c>
      <c r="AI90" s="32"/>
      <c r="AJ90" s="32"/>
      <c r="AK90" s="53"/>
      <c r="AL90" s="21" t="str">
        <f>IFERROR(VLOOKUP(August[[#This Row],[Drug Name5]],'Data Options'!$R$1:$S$100,2,FALSE), " ")</f>
        <v xml:space="preserve"> </v>
      </c>
      <c r="AM90" s="32"/>
      <c r="AN90" s="32"/>
      <c r="AO90" s="53"/>
      <c r="AP90" s="21" t="str">
        <f>IFERROR(VLOOKUP(August[[#This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21" t="str">
        <f>IFERROR(VLOOKUP(August[[#This Row],[Drug Name7]],'Data Options'!$R$1:$S$100,2,FALSE), " ")</f>
        <v xml:space="preserve"> </v>
      </c>
      <c r="AZ90" s="32"/>
      <c r="BA90" s="32"/>
      <c r="BB90" s="53"/>
      <c r="BC90" s="21" t="str">
        <f>IFERROR(VLOOKUP(August[[#This Row],[Drug Name8]],'Data Options'!$R$1:$S$100,2,FALSE), " ")</f>
        <v xml:space="preserve"> </v>
      </c>
      <c r="BD90" s="32"/>
      <c r="BE90" s="32"/>
      <c r="BF90" s="53"/>
      <c r="BG90" s="21" t="str">
        <f>IFERROR(VLOOKUP(August[[#This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21" t="str">
        <f>IFERROR(VLOOKUP(August[[#This Row],[Drug Name]],'Data Options'!$R$1:$S$100,2,FALSE), " ")</f>
        <v xml:space="preserve"> </v>
      </c>
      <c r="R91" s="32"/>
      <c r="S91" s="32"/>
      <c r="T91" s="53"/>
      <c r="U91" s="21" t="str">
        <f>IFERROR(VLOOKUP(August[[#This Row],[Drug Name2]],'Data Options'!$R$1:$S$100,2,FALSE), " ")</f>
        <v xml:space="preserve"> </v>
      </c>
      <c r="V91" s="32"/>
      <c r="W91" s="32"/>
      <c r="X91" s="53"/>
      <c r="Y91" s="21" t="str">
        <f>IFERROR(VLOOKUP(August[[#This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21" t="str">
        <f>IFERROR(VLOOKUP(August[[#This Row],[Drug Name4]],'Data Options'!$R$1:$S$100,2,FALSE), " ")</f>
        <v xml:space="preserve"> </v>
      </c>
      <c r="AI91" s="32"/>
      <c r="AJ91" s="32"/>
      <c r="AK91" s="53"/>
      <c r="AL91" s="21" t="str">
        <f>IFERROR(VLOOKUP(August[[#This Row],[Drug Name5]],'Data Options'!$R$1:$S$100,2,FALSE), " ")</f>
        <v xml:space="preserve"> </v>
      </c>
      <c r="AM91" s="32"/>
      <c r="AN91" s="32"/>
      <c r="AO91" s="53"/>
      <c r="AP91" s="21" t="str">
        <f>IFERROR(VLOOKUP(August[[#This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21" t="str">
        <f>IFERROR(VLOOKUP(August[[#This Row],[Drug Name7]],'Data Options'!$R$1:$S$100,2,FALSE), " ")</f>
        <v xml:space="preserve"> </v>
      </c>
      <c r="AZ91" s="32"/>
      <c r="BA91" s="32"/>
      <c r="BB91" s="53"/>
      <c r="BC91" s="21" t="str">
        <f>IFERROR(VLOOKUP(August[[#This Row],[Drug Name8]],'Data Options'!$R$1:$S$100,2,FALSE), " ")</f>
        <v xml:space="preserve"> </v>
      </c>
      <c r="BD91" s="32"/>
      <c r="BE91" s="32"/>
      <c r="BF91" s="53"/>
      <c r="BG91" s="21" t="str">
        <f>IFERROR(VLOOKUP(August[[#This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21" t="str">
        <f>IFERROR(VLOOKUP(August[[#This Row],[Drug Name]],'Data Options'!$R$1:$S$100,2,FALSE), " ")</f>
        <v xml:space="preserve"> </v>
      </c>
      <c r="R92" s="32"/>
      <c r="S92" s="32"/>
      <c r="T92" s="53"/>
      <c r="U92" s="21" t="str">
        <f>IFERROR(VLOOKUP(August[[#This Row],[Drug Name2]],'Data Options'!$R$1:$S$100,2,FALSE), " ")</f>
        <v xml:space="preserve"> </v>
      </c>
      <c r="V92" s="32"/>
      <c r="W92" s="32"/>
      <c r="X92" s="53"/>
      <c r="Y92" s="21" t="str">
        <f>IFERROR(VLOOKUP(August[[#This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21" t="str">
        <f>IFERROR(VLOOKUP(August[[#This Row],[Drug Name4]],'Data Options'!$R$1:$S$100,2,FALSE), " ")</f>
        <v xml:space="preserve"> </v>
      </c>
      <c r="AI92" s="32"/>
      <c r="AJ92" s="32"/>
      <c r="AK92" s="53"/>
      <c r="AL92" s="21" t="str">
        <f>IFERROR(VLOOKUP(August[[#This Row],[Drug Name5]],'Data Options'!$R$1:$S$100,2,FALSE), " ")</f>
        <v xml:space="preserve"> </v>
      </c>
      <c r="AM92" s="32"/>
      <c r="AN92" s="32"/>
      <c r="AO92" s="53"/>
      <c r="AP92" s="21" t="str">
        <f>IFERROR(VLOOKUP(August[[#This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21" t="str">
        <f>IFERROR(VLOOKUP(August[[#This Row],[Drug Name7]],'Data Options'!$R$1:$S$100,2,FALSE), " ")</f>
        <v xml:space="preserve"> </v>
      </c>
      <c r="AZ92" s="32"/>
      <c r="BA92" s="32"/>
      <c r="BB92" s="53"/>
      <c r="BC92" s="21" t="str">
        <f>IFERROR(VLOOKUP(August[[#This Row],[Drug Name8]],'Data Options'!$R$1:$S$100,2,FALSE), " ")</f>
        <v xml:space="preserve"> </v>
      </c>
      <c r="BD92" s="32"/>
      <c r="BE92" s="32"/>
      <c r="BF92" s="53"/>
      <c r="BG92" s="21" t="str">
        <f>IFERROR(VLOOKUP(August[[#This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21" t="str">
        <f>IFERROR(VLOOKUP(August[[#This Row],[Drug Name]],'Data Options'!$R$1:$S$100,2,FALSE), " ")</f>
        <v xml:space="preserve"> </v>
      </c>
      <c r="R93" s="32"/>
      <c r="S93" s="32"/>
      <c r="T93" s="53"/>
      <c r="U93" s="21" t="str">
        <f>IFERROR(VLOOKUP(August[[#This Row],[Drug Name2]],'Data Options'!$R$1:$S$100,2,FALSE), " ")</f>
        <v xml:space="preserve"> </v>
      </c>
      <c r="V93" s="32"/>
      <c r="W93" s="32"/>
      <c r="X93" s="53"/>
      <c r="Y93" s="21" t="str">
        <f>IFERROR(VLOOKUP(August[[#This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21" t="str">
        <f>IFERROR(VLOOKUP(August[[#This Row],[Drug Name4]],'Data Options'!$R$1:$S$100,2,FALSE), " ")</f>
        <v xml:space="preserve"> </v>
      </c>
      <c r="AI93" s="32"/>
      <c r="AJ93" s="32"/>
      <c r="AK93" s="53"/>
      <c r="AL93" s="21" t="str">
        <f>IFERROR(VLOOKUP(August[[#This Row],[Drug Name5]],'Data Options'!$R$1:$S$100,2,FALSE), " ")</f>
        <v xml:space="preserve"> </v>
      </c>
      <c r="AM93" s="32"/>
      <c r="AN93" s="32"/>
      <c r="AO93" s="53"/>
      <c r="AP93" s="21" t="str">
        <f>IFERROR(VLOOKUP(August[[#This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21" t="str">
        <f>IFERROR(VLOOKUP(August[[#This Row],[Drug Name7]],'Data Options'!$R$1:$S$100,2,FALSE), " ")</f>
        <v xml:space="preserve"> </v>
      </c>
      <c r="AZ93" s="32"/>
      <c r="BA93" s="32"/>
      <c r="BB93" s="53"/>
      <c r="BC93" s="21" t="str">
        <f>IFERROR(VLOOKUP(August[[#This Row],[Drug Name8]],'Data Options'!$R$1:$S$100,2,FALSE), " ")</f>
        <v xml:space="preserve"> </v>
      </c>
      <c r="BD93" s="32"/>
      <c r="BE93" s="32"/>
      <c r="BF93" s="53"/>
      <c r="BG93" s="21" t="str">
        <f>IFERROR(VLOOKUP(August[[#This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21" t="str">
        <f>IFERROR(VLOOKUP(August[[#This Row],[Drug Name]],'Data Options'!$R$1:$S$100,2,FALSE), " ")</f>
        <v xml:space="preserve"> </v>
      </c>
      <c r="R94" s="32"/>
      <c r="S94" s="32"/>
      <c r="T94" s="53"/>
      <c r="U94" s="21" t="str">
        <f>IFERROR(VLOOKUP(August[[#This Row],[Drug Name2]],'Data Options'!$R$1:$S$100,2,FALSE), " ")</f>
        <v xml:space="preserve"> </v>
      </c>
      <c r="V94" s="32"/>
      <c r="W94" s="32"/>
      <c r="X94" s="53"/>
      <c r="Y94" s="21" t="str">
        <f>IFERROR(VLOOKUP(August[[#This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21" t="str">
        <f>IFERROR(VLOOKUP(August[[#This Row],[Drug Name4]],'Data Options'!$R$1:$S$100,2,FALSE), " ")</f>
        <v xml:space="preserve"> </v>
      </c>
      <c r="AI94" s="32"/>
      <c r="AJ94" s="32"/>
      <c r="AK94" s="53"/>
      <c r="AL94" s="21" t="str">
        <f>IFERROR(VLOOKUP(August[[#This Row],[Drug Name5]],'Data Options'!$R$1:$S$100,2,FALSE), " ")</f>
        <v xml:space="preserve"> </v>
      </c>
      <c r="AM94" s="32"/>
      <c r="AN94" s="32"/>
      <c r="AO94" s="53"/>
      <c r="AP94" s="21" t="str">
        <f>IFERROR(VLOOKUP(August[[#This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21" t="str">
        <f>IFERROR(VLOOKUP(August[[#This Row],[Drug Name7]],'Data Options'!$R$1:$S$100,2,FALSE), " ")</f>
        <v xml:space="preserve"> </v>
      </c>
      <c r="AZ94" s="32"/>
      <c r="BA94" s="32"/>
      <c r="BB94" s="53"/>
      <c r="BC94" s="21" t="str">
        <f>IFERROR(VLOOKUP(August[[#This Row],[Drug Name8]],'Data Options'!$R$1:$S$100,2,FALSE), " ")</f>
        <v xml:space="preserve"> </v>
      </c>
      <c r="BD94" s="32"/>
      <c r="BE94" s="32"/>
      <c r="BF94" s="53"/>
      <c r="BG94" s="21" t="str">
        <f>IFERROR(VLOOKUP(August[[#This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21" t="str">
        <f>IFERROR(VLOOKUP(August[[#This Row],[Drug Name]],'Data Options'!$R$1:$S$100,2,FALSE), " ")</f>
        <v xml:space="preserve"> </v>
      </c>
      <c r="R95" s="32"/>
      <c r="S95" s="32"/>
      <c r="T95" s="53"/>
      <c r="U95" s="21" t="str">
        <f>IFERROR(VLOOKUP(August[[#This Row],[Drug Name2]],'Data Options'!$R$1:$S$100,2,FALSE), " ")</f>
        <v xml:space="preserve"> </v>
      </c>
      <c r="V95" s="32"/>
      <c r="W95" s="32"/>
      <c r="X95" s="53"/>
      <c r="Y95" s="21" t="str">
        <f>IFERROR(VLOOKUP(August[[#This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21" t="str">
        <f>IFERROR(VLOOKUP(August[[#This Row],[Drug Name4]],'Data Options'!$R$1:$S$100,2,FALSE), " ")</f>
        <v xml:space="preserve"> </v>
      </c>
      <c r="AI95" s="32"/>
      <c r="AJ95" s="32"/>
      <c r="AK95" s="53"/>
      <c r="AL95" s="21" t="str">
        <f>IFERROR(VLOOKUP(August[[#This Row],[Drug Name5]],'Data Options'!$R$1:$S$100,2,FALSE), " ")</f>
        <v xml:space="preserve"> </v>
      </c>
      <c r="AM95" s="32"/>
      <c r="AN95" s="32"/>
      <c r="AO95" s="53"/>
      <c r="AP95" s="21" t="str">
        <f>IFERROR(VLOOKUP(August[[#This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21" t="str">
        <f>IFERROR(VLOOKUP(August[[#This Row],[Drug Name7]],'Data Options'!$R$1:$S$100,2,FALSE), " ")</f>
        <v xml:space="preserve"> </v>
      </c>
      <c r="AZ95" s="32"/>
      <c r="BA95" s="32"/>
      <c r="BB95" s="53"/>
      <c r="BC95" s="21" t="str">
        <f>IFERROR(VLOOKUP(August[[#This Row],[Drug Name8]],'Data Options'!$R$1:$S$100,2,FALSE), " ")</f>
        <v xml:space="preserve"> </v>
      </c>
      <c r="BD95" s="32"/>
      <c r="BE95" s="32"/>
      <c r="BF95" s="53"/>
      <c r="BG95" s="21" t="str">
        <f>IFERROR(VLOOKUP(August[[#This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21" t="str">
        <f>IFERROR(VLOOKUP(August[[#This Row],[Drug Name]],'Data Options'!$R$1:$S$100,2,FALSE), " ")</f>
        <v xml:space="preserve"> </v>
      </c>
      <c r="R96" s="32"/>
      <c r="S96" s="32"/>
      <c r="T96" s="53"/>
      <c r="U96" s="21" t="str">
        <f>IFERROR(VLOOKUP(August[[#This Row],[Drug Name2]],'Data Options'!$R$1:$S$100,2,FALSE), " ")</f>
        <v xml:space="preserve"> </v>
      </c>
      <c r="V96" s="32"/>
      <c r="W96" s="32"/>
      <c r="X96" s="53"/>
      <c r="Y96" s="21" t="str">
        <f>IFERROR(VLOOKUP(August[[#This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21" t="str">
        <f>IFERROR(VLOOKUP(August[[#This Row],[Drug Name4]],'Data Options'!$R$1:$S$100,2,FALSE), " ")</f>
        <v xml:space="preserve"> </v>
      </c>
      <c r="AI96" s="32"/>
      <c r="AJ96" s="32"/>
      <c r="AK96" s="53"/>
      <c r="AL96" s="21" t="str">
        <f>IFERROR(VLOOKUP(August[[#This Row],[Drug Name5]],'Data Options'!$R$1:$S$100,2,FALSE), " ")</f>
        <v xml:space="preserve"> </v>
      </c>
      <c r="AM96" s="32"/>
      <c r="AN96" s="32"/>
      <c r="AO96" s="53"/>
      <c r="AP96" s="21" t="str">
        <f>IFERROR(VLOOKUP(August[[#This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21" t="str">
        <f>IFERROR(VLOOKUP(August[[#This Row],[Drug Name7]],'Data Options'!$R$1:$S$100,2,FALSE), " ")</f>
        <v xml:space="preserve"> </v>
      </c>
      <c r="AZ96" s="32"/>
      <c r="BA96" s="32"/>
      <c r="BB96" s="53"/>
      <c r="BC96" s="21" t="str">
        <f>IFERROR(VLOOKUP(August[[#This Row],[Drug Name8]],'Data Options'!$R$1:$S$100,2,FALSE), " ")</f>
        <v xml:space="preserve"> </v>
      </c>
      <c r="BD96" s="32"/>
      <c r="BE96" s="32"/>
      <c r="BF96" s="53"/>
      <c r="BG96" s="21" t="str">
        <f>IFERROR(VLOOKUP(August[[#This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21" t="str">
        <f>IFERROR(VLOOKUP(August[[#This Row],[Drug Name]],'Data Options'!$R$1:$S$100,2,FALSE), " ")</f>
        <v xml:space="preserve"> </v>
      </c>
      <c r="R97" s="32"/>
      <c r="S97" s="32"/>
      <c r="T97" s="53"/>
      <c r="U97" s="21" t="str">
        <f>IFERROR(VLOOKUP(August[[#This Row],[Drug Name2]],'Data Options'!$R$1:$S$100,2,FALSE), " ")</f>
        <v xml:space="preserve"> </v>
      </c>
      <c r="V97" s="32"/>
      <c r="W97" s="32"/>
      <c r="X97" s="53"/>
      <c r="Y97" s="21" t="str">
        <f>IFERROR(VLOOKUP(August[[#This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21" t="str">
        <f>IFERROR(VLOOKUP(August[[#This Row],[Drug Name4]],'Data Options'!$R$1:$S$100,2,FALSE), " ")</f>
        <v xml:space="preserve"> </v>
      </c>
      <c r="AI97" s="32"/>
      <c r="AJ97" s="32"/>
      <c r="AK97" s="53"/>
      <c r="AL97" s="21" t="str">
        <f>IFERROR(VLOOKUP(August[[#This Row],[Drug Name5]],'Data Options'!$R$1:$S$100,2,FALSE), " ")</f>
        <v xml:space="preserve"> </v>
      </c>
      <c r="AM97" s="32"/>
      <c r="AN97" s="32"/>
      <c r="AO97" s="53"/>
      <c r="AP97" s="21" t="str">
        <f>IFERROR(VLOOKUP(August[[#This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21" t="str">
        <f>IFERROR(VLOOKUP(August[[#This Row],[Drug Name7]],'Data Options'!$R$1:$S$100,2,FALSE), " ")</f>
        <v xml:space="preserve"> </v>
      </c>
      <c r="AZ97" s="32"/>
      <c r="BA97" s="32"/>
      <c r="BB97" s="53"/>
      <c r="BC97" s="21" t="str">
        <f>IFERROR(VLOOKUP(August[[#This Row],[Drug Name8]],'Data Options'!$R$1:$S$100,2,FALSE), " ")</f>
        <v xml:space="preserve"> </v>
      </c>
      <c r="BD97" s="32"/>
      <c r="BE97" s="32"/>
      <c r="BF97" s="53"/>
      <c r="BG97" s="21" t="str">
        <f>IFERROR(VLOOKUP(August[[#This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21" t="str">
        <f>IFERROR(VLOOKUP(August[[#This Row],[Drug Name]],'Data Options'!$R$1:$S$100,2,FALSE), " ")</f>
        <v xml:space="preserve"> </v>
      </c>
      <c r="R98" s="32"/>
      <c r="S98" s="32"/>
      <c r="T98" s="53"/>
      <c r="U98" s="21" t="str">
        <f>IFERROR(VLOOKUP(August[[#This Row],[Drug Name2]],'Data Options'!$R$1:$S$100,2,FALSE), " ")</f>
        <v xml:space="preserve"> </v>
      </c>
      <c r="V98" s="32"/>
      <c r="W98" s="32"/>
      <c r="X98" s="53"/>
      <c r="Y98" s="21" t="str">
        <f>IFERROR(VLOOKUP(August[[#This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21" t="str">
        <f>IFERROR(VLOOKUP(August[[#This Row],[Drug Name4]],'Data Options'!$R$1:$S$100,2,FALSE), " ")</f>
        <v xml:space="preserve"> </v>
      </c>
      <c r="AI98" s="32"/>
      <c r="AJ98" s="32"/>
      <c r="AK98" s="53"/>
      <c r="AL98" s="21" t="str">
        <f>IFERROR(VLOOKUP(August[[#This Row],[Drug Name5]],'Data Options'!$R$1:$S$100,2,FALSE), " ")</f>
        <v xml:space="preserve"> </v>
      </c>
      <c r="AM98" s="32"/>
      <c r="AN98" s="32"/>
      <c r="AO98" s="53"/>
      <c r="AP98" s="21" t="str">
        <f>IFERROR(VLOOKUP(August[[#This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21" t="str">
        <f>IFERROR(VLOOKUP(August[[#This Row],[Drug Name7]],'Data Options'!$R$1:$S$100,2,FALSE), " ")</f>
        <v xml:space="preserve"> </v>
      </c>
      <c r="AZ98" s="32"/>
      <c r="BA98" s="32"/>
      <c r="BB98" s="53"/>
      <c r="BC98" s="21" t="str">
        <f>IFERROR(VLOOKUP(August[[#This Row],[Drug Name8]],'Data Options'!$R$1:$S$100,2,FALSE), " ")</f>
        <v xml:space="preserve"> </v>
      </c>
      <c r="BD98" s="32"/>
      <c r="BE98" s="32"/>
      <c r="BF98" s="53"/>
      <c r="BG98" s="21" t="str">
        <f>IFERROR(VLOOKUP(August[[#This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21" t="str">
        <f>IFERROR(VLOOKUP(August[[#This Row],[Drug Name]],'Data Options'!$R$1:$S$100,2,FALSE), " ")</f>
        <v xml:space="preserve"> </v>
      </c>
      <c r="R99" s="32"/>
      <c r="S99" s="32"/>
      <c r="T99" s="53"/>
      <c r="U99" s="21" t="str">
        <f>IFERROR(VLOOKUP(August[[#This Row],[Drug Name2]],'Data Options'!$R$1:$S$100,2,FALSE), " ")</f>
        <v xml:space="preserve"> </v>
      </c>
      <c r="V99" s="32"/>
      <c r="W99" s="32"/>
      <c r="X99" s="53"/>
      <c r="Y99" s="21" t="str">
        <f>IFERROR(VLOOKUP(August[[#This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21" t="str">
        <f>IFERROR(VLOOKUP(August[[#This Row],[Drug Name4]],'Data Options'!$R$1:$S$100,2,FALSE), " ")</f>
        <v xml:space="preserve"> </v>
      </c>
      <c r="AI99" s="32"/>
      <c r="AJ99" s="32"/>
      <c r="AK99" s="53"/>
      <c r="AL99" s="21" t="str">
        <f>IFERROR(VLOOKUP(August[[#This Row],[Drug Name5]],'Data Options'!$R$1:$S$100,2,FALSE), " ")</f>
        <v xml:space="preserve"> </v>
      </c>
      <c r="AM99" s="32"/>
      <c r="AN99" s="32"/>
      <c r="AO99" s="53"/>
      <c r="AP99" s="21" t="str">
        <f>IFERROR(VLOOKUP(August[[#This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21" t="str">
        <f>IFERROR(VLOOKUP(August[[#This Row],[Drug Name7]],'Data Options'!$R$1:$S$100,2,FALSE), " ")</f>
        <v xml:space="preserve"> </v>
      </c>
      <c r="AZ99" s="32"/>
      <c r="BA99" s="32"/>
      <c r="BB99" s="53"/>
      <c r="BC99" s="21" t="str">
        <f>IFERROR(VLOOKUP(August[[#This Row],[Drug Name8]],'Data Options'!$R$1:$S$100,2,FALSE), " ")</f>
        <v xml:space="preserve"> </v>
      </c>
      <c r="BD99" s="32"/>
      <c r="BE99" s="32"/>
      <c r="BF99" s="53"/>
      <c r="BG99" s="21" t="str">
        <f>IFERROR(VLOOKUP(August[[#This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21" t="str">
        <f>IFERROR(VLOOKUP(August[[#This Row],[Drug Name]],'Data Options'!$R$1:$S$100,2,FALSE), " ")</f>
        <v xml:space="preserve"> </v>
      </c>
      <c r="R100" s="32"/>
      <c r="S100" s="32"/>
      <c r="T100" s="53"/>
      <c r="U100" s="21" t="str">
        <f>IFERROR(VLOOKUP(August[[#This Row],[Drug Name2]],'Data Options'!$R$1:$S$100,2,FALSE), " ")</f>
        <v xml:space="preserve"> </v>
      </c>
      <c r="V100" s="32"/>
      <c r="W100" s="32"/>
      <c r="X100" s="53"/>
      <c r="Y100" s="21" t="str">
        <f>IFERROR(VLOOKUP(August[[#This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21" t="str">
        <f>IFERROR(VLOOKUP(August[[#This Row],[Drug Name4]],'Data Options'!$R$1:$S$100,2,FALSE), " ")</f>
        <v xml:space="preserve"> </v>
      </c>
      <c r="AI100" s="32"/>
      <c r="AJ100" s="32"/>
      <c r="AK100" s="53"/>
      <c r="AL100" s="21" t="str">
        <f>IFERROR(VLOOKUP(August[[#This Row],[Drug Name5]],'Data Options'!$R$1:$S$100,2,FALSE), " ")</f>
        <v xml:space="preserve"> </v>
      </c>
      <c r="AM100" s="32"/>
      <c r="AN100" s="32"/>
      <c r="AO100" s="53"/>
      <c r="AP100" s="21" t="str">
        <f>IFERROR(VLOOKUP(August[[#This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21" t="str">
        <f>IFERROR(VLOOKUP(August[[#This Row],[Drug Name7]],'Data Options'!$R$1:$S$100,2,FALSE), " ")</f>
        <v xml:space="preserve"> </v>
      </c>
      <c r="AZ100" s="32"/>
      <c r="BA100" s="32"/>
      <c r="BB100" s="53"/>
      <c r="BC100" s="21" t="str">
        <f>IFERROR(VLOOKUP(August[[#This Row],[Drug Name8]],'Data Options'!$R$1:$S$100,2,FALSE), " ")</f>
        <v xml:space="preserve"> </v>
      </c>
      <c r="BD100" s="32"/>
      <c r="BE100" s="32"/>
      <c r="BF100" s="53"/>
      <c r="BG100" s="21" t="str">
        <f>IFERROR(VLOOKUP(August[[#This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21" t="str">
        <f>IFERROR(VLOOKUP(August[[#This Row],[Drug Name]],'Data Options'!$R$1:$S$100,2,FALSE), " ")</f>
        <v xml:space="preserve"> </v>
      </c>
      <c r="R101" s="32"/>
      <c r="S101" s="32"/>
      <c r="T101" s="53"/>
      <c r="U101" s="21" t="str">
        <f>IFERROR(VLOOKUP(August[[#This Row],[Drug Name2]],'Data Options'!$R$1:$S$100,2,FALSE), " ")</f>
        <v xml:space="preserve"> </v>
      </c>
      <c r="V101" s="32"/>
      <c r="W101" s="32"/>
      <c r="X101" s="53"/>
      <c r="Y101" s="21" t="str">
        <f>IFERROR(VLOOKUP(August[[#This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21" t="str">
        <f>IFERROR(VLOOKUP(August[[#This Row],[Drug Name4]],'Data Options'!$R$1:$S$100,2,FALSE), " ")</f>
        <v xml:space="preserve"> </v>
      </c>
      <c r="AI101" s="32"/>
      <c r="AJ101" s="32"/>
      <c r="AK101" s="53"/>
      <c r="AL101" s="21" t="str">
        <f>IFERROR(VLOOKUP(August[[#This Row],[Drug Name5]],'Data Options'!$R$1:$S$100,2,FALSE), " ")</f>
        <v xml:space="preserve"> </v>
      </c>
      <c r="AM101" s="32"/>
      <c r="AN101" s="32"/>
      <c r="AO101" s="53"/>
      <c r="AP101" s="21" t="str">
        <f>IFERROR(VLOOKUP(August[[#This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21" t="str">
        <f>IFERROR(VLOOKUP(August[[#This Row],[Drug Name7]],'Data Options'!$R$1:$S$100,2,FALSE), " ")</f>
        <v xml:space="preserve"> </v>
      </c>
      <c r="AZ101" s="32"/>
      <c r="BA101" s="32"/>
      <c r="BB101" s="53"/>
      <c r="BC101" s="21" t="str">
        <f>IFERROR(VLOOKUP(August[[#This Row],[Drug Name8]],'Data Options'!$R$1:$S$100,2,FALSE), " ")</f>
        <v xml:space="preserve"> </v>
      </c>
      <c r="BD101" s="32"/>
      <c r="BE101" s="32"/>
      <c r="BF101" s="53"/>
      <c r="BG101" s="21" t="str">
        <f>IFERROR(VLOOKUP(August[[#This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21" t="str">
        <f>IFERROR(VLOOKUP(August[[#This Row],[Drug Name]],'Data Options'!$R$1:$S$100,2,FALSE), " ")</f>
        <v xml:space="preserve"> </v>
      </c>
      <c r="R102" s="32"/>
      <c r="S102" s="32"/>
      <c r="T102" s="53"/>
      <c r="U102" s="21" t="str">
        <f>IFERROR(VLOOKUP(August[[#This Row],[Drug Name2]],'Data Options'!$R$1:$S$100,2,FALSE), " ")</f>
        <v xml:space="preserve"> </v>
      </c>
      <c r="V102" s="32"/>
      <c r="W102" s="32"/>
      <c r="X102" s="53"/>
      <c r="Y102" s="21" t="str">
        <f>IFERROR(VLOOKUP(August[[#This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21" t="str">
        <f>IFERROR(VLOOKUP(August[[#This Row],[Drug Name4]],'Data Options'!$R$1:$S$100,2,FALSE), " ")</f>
        <v xml:space="preserve"> </v>
      </c>
      <c r="AI102" s="32"/>
      <c r="AJ102" s="32"/>
      <c r="AK102" s="53"/>
      <c r="AL102" s="21" t="str">
        <f>IFERROR(VLOOKUP(August[[#This Row],[Drug Name5]],'Data Options'!$R$1:$S$100,2,FALSE), " ")</f>
        <v xml:space="preserve"> </v>
      </c>
      <c r="AM102" s="32"/>
      <c r="AN102" s="32"/>
      <c r="AO102" s="53"/>
      <c r="AP102" s="21" t="str">
        <f>IFERROR(VLOOKUP(August[[#This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21" t="str">
        <f>IFERROR(VLOOKUP(August[[#This Row],[Drug Name7]],'Data Options'!$R$1:$S$100,2,FALSE), " ")</f>
        <v xml:space="preserve"> </v>
      </c>
      <c r="AZ102" s="32"/>
      <c r="BA102" s="32"/>
      <c r="BB102" s="53"/>
      <c r="BC102" s="21" t="str">
        <f>IFERROR(VLOOKUP(August[[#This Row],[Drug Name8]],'Data Options'!$R$1:$S$100,2,FALSE), " ")</f>
        <v xml:space="preserve"> </v>
      </c>
      <c r="BD102" s="32"/>
      <c r="BE102" s="32"/>
      <c r="BF102" s="53"/>
      <c r="BG102" s="21" t="str">
        <f>IFERROR(VLOOKUP(August[[#This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21" t="str">
        <f>IFERROR(VLOOKUP(August[[#This Row],[Drug Name]],'Data Options'!$R$1:$S$100,2,FALSE), " ")</f>
        <v xml:space="preserve"> </v>
      </c>
      <c r="R103" s="32"/>
      <c r="S103" s="32"/>
      <c r="T103" s="53"/>
      <c r="U103" s="21" t="str">
        <f>IFERROR(VLOOKUP(August[[#This Row],[Drug Name2]],'Data Options'!$R$1:$S$100,2,FALSE), " ")</f>
        <v xml:space="preserve"> </v>
      </c>
      <c r="V103" s="32"/>
      <c r="W103" s="32"/>
      <c r="X103" s="53"/>
      <c r="Y103" s="21" t="str">
        <f>IFERROR(VLOOKUP(August[[#This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21" t="str">
        <f>IFERROR(VLOOKUP(August[[#This Row],[Drug Name4]],'Data Options'!$R$1:$S$100,2,FALSE), " ")</f>
        <v xml:space="preserve"> </v>
      </c>
      <c r="AI103" s="32"/>
      <c r="AJ103" s="32"/>
      <c r="AK103" s="53"/>
      <c r="AL103" s="21" t="str">
        <f>IFERROR(VLOOKUP(August[[#This Row],[Drug Name5]],'Data Options'!$R$1:$S$100,2,FALSE), " ")</f>
        <v xml:space="preserve"> </v>
      </c>
      <c r="AM103" s="32"/>
      <c r="AN103" s="32"/>
      <c r="AO103" s="53"/>
      <c r="AP103" s="21" t="str">
        <f>IFERROR(VLOOKUP(August[[#This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21" t="str">
        <f>IFERROR(VLOOKUP(August[[#This Row],[Drug Name7]],'Data Options'!$R$1:$S$100,2,FALSE), " ")</f>
        <v xml:space="preserve"> </v>
      </c>
      <c r="AZ103" s="32"/>
      <c r="BA103" s="32"/>
      <c r="BB103" s="53"/>
      <c r="BC103" s="21" t="str">
        <f>IFERROR(VLOOKUP(August[[#This Row],[Drug Name8]],'Data Options'!$R$1:$S$100,2,FALSE), " ")</f>
        <v xml:space="preserve"> </v>
      </c>
      <c r="BD103" s="32"/>
      <c r="BE103" s="32"/>
      <c r="BF103" s="53"/>
      <c r="BG103" s="21" t="str">
        <f>IFERROR(VLOOKUP(August[[#This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21" t="str">
        <f>IFERROR(VLOOKUP(August[[#This Row],[Drug Name]],'Data Options'!$R$1:$S$100,2,FALSE), " ")</f>
        <v xml:space="preserve"> </v>
      </c>
      <c r="R104" s="32"/>
      <c r="S104" s="32"/>
      <c r="T104" s="53"/>
      <c r="U104" s="21" t="str">
        <f>IFERROR(VLOOKUP(August[[#This Row],[Drug Name2]],'Data Options'!$R$1:$S$100,2,FALSE), " ")</f>
        <v xml:space="preserve"> </v>
      </c>
      <c r="V104" s="32"/>
      <c r="W104" s="32"/>
      <c r="X104" s="53"/>
      <c r="Y104" s="21" t="str">
        <f>IFERROR(VLOOKUP(August[[#This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21" t="str">
        <f>IFERROR(VLOOKUP(August[[#This Row],[Drug Name4]],'Data Options'!$R$1:$S$100,2,FALSE), " ")</f>
        <v xml:space="preserve"> </v>
      </c>
      <c r="AI104" s="32"/>
      <c r="AJ104" s="32"/>
      <c r="AK104" s="53"/>
      <c r="AL104" s="21" t="str">
        <f>IFERROR(VLOOKUP(August[[#This Row],[Drug Name5]],'Data Options'!$R$1:$S$100,2,FALSE), " ")</f>
        <v xml:space="preserve"> </v>
      </c>
      <c r="AM104" s="32"/>
      <c r="AN104" s="32"/>
      <c r="AO104" s="53"/>
      <c r="AP104" s="21" t="str">
        <f>IFERROR(VLOOKUP(August[[#This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21" t="str">
        <f>IFERROR(VLOOKUP(August[[#This Row],[Drug Name7]],'Data Options'!$R$1:$S$100,2,FALSE), " ")</f>
        <v xml:space="preserve"> </v>
      </c>
      <c r="AZ104" s="32"/>
      <c r="BA104" s="32"/>
      <c r="BB104" s="53"/>
      <c r="BC104" s="21" t="str">
        <f>IFERROR(VLOOKUP(August[[#This Row],[Drug Name8]],'Data Options'!$R$1:$S$100,2,FALSE), " ")</f>
        <v xml:space="preserve"> </v>
      </c>
      <c r="BD104" s="32"/>
      <c r="BE104" s="32"/>
      <c r="BF104" s="53"/>
      <c r="BG104" s="21" t="str">
        <f>IFERROR(VLOOKUP(August[[#This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21" t="str">
        <f>IFERROR(VLOOKUP(August[[#This Row],[Drug Name]],'Data Options'!$R$1:$S$100,2,FALSE), " ")</f>
        <v xml:space="preserve"> </v>
      </c>
      <c r="R105" s="32"/>
      <c r="S105" s="32"/>
      <c r="T105" s="53"/>
      <c r="U105" s="21" t="str">
        <f>IFERROR(VLOOKUP(August[[#This Row],[Drug Name2]],'Data Options'!$R$1:$S$100,2,FALSE), " ")</f>
        <v xml:space="preserve"> </v>
      </c>
      <c r="V105" s="32"/>
      <c r="W105" s="32"/>
      <c r="X105" s="53"/>
      <c r="Y105" s="21" t="str">
        <f>IFERROR(VLOOKUP(August[[#This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21" t="str">
        <f>IFERROR(VLOOKUP(August[[#This Row],[Drug Name4]],'Data Options'!$R$1:$S$100,2,FALSE), " ")</f>
        <v xml:space="preserve"> </v>
      </c>
      <c r="AI105" s="32"/>
      <c r="AJ105" s="32"/>
      <c r="AK105" s="53"/>
      <c r="AL105" s="21" t="str">
        <f>IFERROR(VLOOKUP(August[[#This Row],[Drug Name5]],'Data Options'!$R$1:$S$100,2,FALSE), " ")</f>
        <v xml:space="preserve"> </v>
      </c>
      <c r="AM105" s="32"/>
      <c r="AN105" s="32"/>
      <c r="AO105" s="53"/>
      <c r="AP105" s="21" t="str">
        <f>IFERROR(VLOOKUP(August[[#This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21" t="str">
        <f>IFERROR(VLOOKUP(August[[#This Row],[Drug Name7]],'Data Options'!$R$1:$S$100,2,FALSE), " ")</f>
        <v xml:space="preserve"> </v>
      </c>
      <c r="AZ105" s="32"/>
      <c r="BA105" s="32"/>
      <c r="BB105" s="53"/>
      <c r="BC105" s="21" t="str">
        <f>IFERROR(VLOOKUP(August[[#This Row],[Drug Name8]],'Data Options'!$R$1:$S$100,2,FALSE), " ")</f>
        <v xml:space="preserve"> </v>
      </c>
      <c r="BD105" s="32"/>
      <c r="BE105" s="32"/>
      <c r="BF105" s="53"/>
      <c r="BG105" s="21" t="str">
        <f>IFERROR(VLOOKUP(August[[#This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21" t="str">
        <f>IFERROR(VLOOKUP(August[[#This Row],[Drug Name]],'Data Options'!$R$1:$S$100,2,FALSE), " ")</f>
        <v xml:space="preserve"> </v>
      </c>
      <c r="R106" s="32"/>
      <c r="S106" s="32"/>
      <c r="T106" s="53"/>
      <c r="U106" s="21" t="str">
        <f>IFERROR(VLOOKUP(August[[#This Row],[Drug Name2]],'Data Options'!$R$1:$S$100,2,FALSE), " ")</f>
        <v xml:space="preserve"> </v>
      </c>
      <c r="V106" s="32"/>
      <c r="W106" s="32"/>
      <c r="X106" s="53"/>
      <c r="Y106" s="21" t="str">
        <f>IFERROR(VLOOKUP(August[[#This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21" t="str">
        <f>IFERROR(VLOOKUP(August[[#This Row],[Drug Name4]],'Data Options'!$R$1:$S$100,2,FALSE), " ")</f>
        <v xml:space="preserve"> </v>
      </c>
      <c r="AI106" s="32"/>
      <c r="AJ106" s="32"/>
      <c r="AK106" s="53"/>
      <c r="AL106" s="21" t="str">
        <f>IFERROR(VLOOKUP(August[[#This Row],[Drug Name5]],'Data Options'!$R$1:$S$100,2,FALSE), " ")</f>
        <v xml:space="preserve"> </v>
      </c>
      <c r="AM106" s="32"/>
      <c r="AN106" s="32"/>
      <c r="AO106" s="53"/>
      <c r="AP106" s="21" t="str">
        <f>IFERROR(VLOOKUP(August[[#This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21" t="str">
        <f>IFERROR(VLOOKUP(August[[#This Row],[Drug Name7]],'Data Options'!$R$1:$S$100,2,FALSE), " ")</f>
        <v xml:space="preserve"> </v>
      </c>
      <c r="AZ106" s="32"/>
      <c r="BA106" s="32"/>
      <c r="BB106" s="53"/>
      <c r="BC106" s="21" t="str">
        <f>IFERROR(VLOOKUP(August[[#This Row],[Drug Name8]],'Data Options'!$R$1:$S$100,2,FALSE), " ")</f>
        <v xml:space="preserve"> </v>
      </c>
      <c r="BD106" s="32"/>
      <c r="BE106" s="32"/>
      <c r="BF106" s="53"/>
      <c r="BG106" s="21" t="str">
        <f>IFERROR(VLOOKUP(August[[#This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21" t="str">
        <f>IFERROR(VLOOKUP(August[[#This Row],[Drug Name]],'Data Options'!$R$1:$S$100,2,FALSE), " ")</f>
        <v xml:space="preserve"> </v>
      </c>
      <c r="R107" s="32"/>
      <c r="S107" s="32"/>
      <c r="T107" s="53"/>
      <c r="U107" s="21" t="str">
        <f>IFERROR(VLOOKUP(August[[#This Row],[Drug Name2]],'Data Options'!$R$1:$S$100,2,FALSE), " ")</f>
        <v xml:space="preserve"> </v>
      </c>
      <c r="V107" s="32"/>
      <c r="W107" s="32"/>
      <c r="X107" s="53"/>
      <c r="Y107" s="21" t="str">
        <f>IFERROR(VLOOKUP(August[[#This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21" t="str">
        <f>IFERROR(VLOOKUP(August[[#This Row],[Drug Name4]],'Data Options'!$R$1:$S$100,2,FALSE), " ")</f>
        <v xml:space="preserve"> </v>
      </c>
      <c r="AI107" s="32"/>
      <c r="AJ107" s="32"/>
      <c r="AK107" s="53"/>
      <c r="AL107" s="21" t="str">
        <f>IFERROR(VLOOKUP(August[[#This Row],[Drug Name5]],'Data Options'!$R$1:$S$100,2,FALSE), " ")</f>
        <v xml:space="preserve"> </v>
      </c>
      <c r="AM107" s="32"/>
      <c r="AN107" s="32"/>
      <c r="AO107" s="53"/>
      <c r="AP107" s="21" t="str">
        <f>IFERROR(VLOOKUP(August[[#This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21" t="str">
        <f>IFERROR(VLOOKUP(August[[#This Row],[Drug Name7]],'Data Options'!$R$1:$S$100,2,FALSE), " ")</f>
        <v xml:space="preserve"> </v>
      </c>
      <c r="AZ107" s="32"/>
      <c r="BA107" s="32"/>
      <c r="BB107" s="53"/>
      <c r="BC107" s="21" t="str">
        <f>IFERROR(VLOOKUP(August[[#This Row],[Drug Name8]],'Data Options'!$R$1:$S$100,2,FALSE), " ")</f>
        <v xml:space="preserve"> </v>
      </c>
      <c r="BD107" s="32"/>
      <c r="BE107" s="32"/>
      <c r="BF107" s="53"/>
      <c r="BG107" s="21" t="str">
        <f>IFERROR(VLOOKUP(August[[#This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21" t="str">
        <f>IFERROR(VLOOKUP(August[[#This Row],[Drug Name]],'Data Options'!$R$1:$S$100,2,FALSE), " ")</f>
        <v xml:space="preserve"> </v>
      </c>
      <c r="R108" s="32"/>
      <c r="S108" s="32"/>
      <c r="T108" s="53"/>
      <c r="U108" s="21" t="str">
        <f>IFERROR(VLOOKUP(August[[#This Row],[Drug Name2]],'Data Options'!$R$1:$S$100,2,FALSE), " ")</f>
        <v xml:space="preserve"> </v>
      </c>
      <c r="V108" s="32"/>
      <c r="W108" s="32"/>
      <c r="X108" s="53"/>
      <c r="Y108" s="21" t="str">
        <f>IFERROR(VLOOKUP(August[[#This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21" t="str">
        <f>IFERROR(VLOOKUP(August[[#This Row],[Drug Name4]],'Data Options'!$R$1:$S$100,2,FALSE), " ")</f>
        <v xml:space="preserve"> </v>
      </c>
      <c r="AI108" s="32"/>
      <c r="AJ108" s="32"/>
      <c r="AK108" s="53"/>
      <c r="AL108" s="21" t="str">
        <f>IFERROR(VLOOKUP(August[[#This Row],[Drug Name5]],'Data Options'!$R$1:$S$100,2,FALSE), " ")</f>
        <v xml:space="preserve"> </v>
      </c>
      <c r="AM108" s="32"/>
      <c r="AN108" s="32"/>
      <c r="AO108" s="53"/>
      <c r="AP108" s="21" t="str">
        <f>IFERROR(VLOOKUP(August[[#This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21" t="str">
        <f>IFERROR(VLOOKUP(August[[#This Row],[Drug Name7]],'Data Options'!$R$1:$S$100,2,FALSE), " ")</f>
        <v xml:space="preserve"> </v>
      </c>
      <c r="AZ108" s="32"/>
      <c r="BA108" s="32"/>
      <c r="BB108" s="53"/>
      <c r="BC108" s="21" t="str">
        <f>IFERROR(VLOOKUP(August[[#This Row],[Drug Name8]],'Data Options'!$R$1:$S$100,2,FALSE), " ")</f>
        <v xml:space="preserve"> </v>
      </c>
      <c r="BD108" s="32"/>
      <c r="BE108" s="32"/>
      <c r="BF108" s="53"/>
      <c r="BG108" s="21" t="str">
        <f>IFERROR(VLOOKUP(August[[#This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21" t="str">
        <f>IFERROR(VLOOKUP(August[[#This Row],[Drug Name]],'Data Options'!$R$1:$S$100,2,FALSE), " ")</f>
        <v xml:space="preserve"> </v>
      </c>
      <c r="R109" s="32"/>
      <c r="S109" s="32"/>
      <c r="T109" s="53"/>
      <c r="U109" s="21" t="str">
        <f>IFERROR(VLOOKUP(August[[#This Row],[Drug Name2]],'Data Options'!$R$1:$S$100,2,FALSE), " ")</f>
        <v xml:space="preserve"> </v>
      </c>
      <c r="V109" s="32"/>
      <c r="W109" s="32"/>
      <c r="X109" s="53"/>
      <c r="Y109" s="21" t="str">
        <f>IFERROR(VLOOKUP(August[[#This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21" t="str">
        <f>IFERROR(VLOOKUP(August[[#This Row],[Drug Name4]],'Data Options'!$R$1:$S$100,2,FALSE), " ")</f>
        <v xml:space="preserve"> </v>
      </c>
      <c r="AI109" s="32"/>
      <c r="AJ109" s="32"/>
      <c r="AK109" s="53"/>
      <c r="AL109" s="21" t="str">
        <f>IFERROR(VLOOKUP(August[[#This Row],[Drug Name5]],'Data Options'!$R$1:$S$100,2,FALSE), " ")</f>
        <v xml:space="preserve"> </v>
      </c>
      <c r="AM109" s="32"/>
      <c r="AN109" s="32"/>
      <c r="AO109" s="53"/>
      <c r="AP109" s="21" t="str">
        <f>IFERROR(VLOOKUP(August[[#This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21" t="str">
        <f>IFERROR(VLOOKUP(August[[#This Row],[Drug Name7]],'Data Options'!$R$1:$S$100,2,FALSE), " ")</f>
        <v xml:space="preserve"> </v>
      </c>
      <c r="AZ109" s="32"/>
      <c r="BA109" s="32"/>
      <c r="BB109" s="53"/>
      <c r="BC109" s="21" t="str">
        <f>IFERROR(VLOOKUP(August[[#This Row],[Drug Name8]],'Data Options'!$R$1:$S$100,2,FALSE), " ")</f>
        <v xml:space="preserve"> </v>
      </c>
      <c r="BD109" s="32"/>
      <c r="BE109" s="32"/>
      <c r="BF109" s="53"/>
      <c r="BG109" s="21" t="str">
        <f>IFERROR(VLOOKUP(August[[#This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21" t="str">
        <f>IFERROR(VLOOKUP(August[[#This Row],[Drug Name]],'Data Options'!$R$1:$S$100,2,FALSE), " ")</f>
        <v xml:space="preserve"> </v>
      </c>
      <c r="R110" s="32"/>
      <c r="S110" s="32"/>
      <c r="T110" s="53"/>
      <c r="U110" s="21" t="str">
        <f>IFERROR(VLOOKUP(August[[#This Row],[Drug Name2]],'Data Options'!$R$1:$S$100,2,FALSE), " ")</f>
        <v xml:space="preserve"> </v>
      </c>
      <c r="V110" s="32"/>
      <c r="W110" s="32"/>
      <c r="X110" s="53"/>
      <c r="Y110" s="21" t="str">
        <f>IFERROR(VLOOKUP(August[[#This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21" t="str">
        <f>IFERROR(VLOOKUP(August[[#This Row],[Drug Name4]],'Data Options'!$R$1:$S$100,2,FALSE), " ")</f>
        <v xml:space="preserve"> </v>
      </c>
      <c r="AI110" s="32"/>
      <c r="AJ110" s="32"/>
      <c r="AK110" s="53"/>
      <c r="AL110" s="21" t="str">
        <f>IFERROR(VLOOKUP(August[[#This Row],[Drug Name5]],'Data Options'!$R$1:$S$100,2,FALSE), " ")</f>
        <v xml:space="preserve"> </v>
      </c>
      <c r="AM110" s="32"/>
      <c r="AN110" s="32"/>
      <c r="AO110" s="53"/>
      <c r="AP110" s="21" t="str">
        <f>IFERROR(VLOOKUP(August[[#This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21" t="str">
        <f>IFERROR(VLOOKUP(August[[#This Row],[Drug Name7]],'Data Options'!$R$1:$S$100,2,FALSE), " ")</f>
        <v xml:space="preserve"> </v>
      </c>
      <c r="AZ110" s="32"/>
      <c r="BA110" s="32"/>
      <c r="BB110" s="53"/>
      <c r="BC110" s="21" t="str">
        <f>IFERROR(VLOOKUP(August[[#This Row],[Drug Name8]],'Data Options'!$R$1:$S$100,2,FALSE), " ")</f>
        <v xml:space="preserve"> </v>
      </c>
      <c r="BD110" s="32"/>
      <c r="BE110" s="32"/>
      <c r="BF110" s="53"/>
      <c r="BG110" s="21" t="str">
        <f>IFERROR(VLOOKUP(August[[#This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21" t="str">
        <f>IFERROR(VLOOKUP(August[[#This Row],[Drug Name]],'Data Options'!$R$1:$S$100,2,FALSE), " ")</f>
        <v xml:space="preserve"> </v>
      </c>
      <c r="R111" s="32"/>
      <c r="S111" s="32"/>
      <c r="T111" s="53"/>
      <c r="U111" s="21" t="str">
        <f>IFERROR(VLOOKUP(August[[#This Row],[Drug Name2]],'Data Options'!$R$1:$S$100,2,FALSE), " ")</f>
        <v xml:space="preserve"> </v>
      </c>
      <c r="V111" s="32"/>
      <c r="W111" s="32"/>
      <c r="X111" s="53"/>
      <c r="Y111" s="21" t="str">
        <f>IFERROR(VLOOKUP(August[[#This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21" t="str">
        <f>IFERROR(VLOOKUP(August[[#This Row],[Drug Name4]],'Data Options'!$R$1:$S$100,2,FALSE), " ")</f>
        <v xml:space="preserve"> </v>
      </c>
      <c r="AI111" s="32"/>
      <c r="AJ111" s="32"/>
      <c r="AK111" s="53"/>
      <c r="AL111" s="21" t="str">
        <f>IFERROR(VLOOKUP(August[[#This Row],[Drug Name5]],'Data Options'!$R$1:$S$100,2,FALSE), " ")</f>
        <v xml:space="preserve"> </v>
      </c>
      <c r="AM111" s="32"/>
      <c r="AN111" s="32"/>
      <c r="AO111" s="53"/>
      <c r="AP111" s="21" t="str">
        <f>IFERROR(VLOOKUP(August[[#This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21" t="str">
        <f>IFERROR(VLOOKUP(August[[#This Row],[Drug Name7]],'Data Options'!$R$1:$S$100,2,FALSE), " ")</f>
        <v xml:space="preserve"> </v>
      </c>
      <c r="AZ111" s="32"/>
      <c r="BA111" s="32"/>
      <c r="BB111" s="53"/>
      <c r="BC111" s="21" t="str">
        <f>IFERROR(VLOOKUP(August[[#This Row],[Drug Name8]],'Data Options'!$R$1:$S$100,2,FALSE), " ")</f>
        <v xml:space="preserve"> </v>
      </c>
      <c r="BD111" s="32"/>
      <c r="BE111" s="32"/>
      <c r="BF111" s="53"/>
      <c r="BG111" s="21" t="str">
        <f>IFERROR(VLOOKUP(August[[#This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21" t="str">
        <f>IFERROR(VLOOKUP(August[[#This Row],[Drug Name]],'Data Options'!$R$1:$S$100,2,FALSE), " ")</f>
        <v xml:space="preserve"> </v>
      </c>
      <c r="R112" s="32"/>
      <c r="S112" s="32"/>
      <c r="T112" s="53"/>
      <c r="U112" s="21" t="str">
        <f>IFERROR(VLOOKUP(August[[#This Row],[Drug Name2]],'Data Options'!$R$1:$S$100,2,FALSE), " ")</f>
        <v xml:space="preserve"> </v>
      </c>
      <c r="V112" s="32"/>
      <c r="W112" s="32"/>
      <c r="X112" s="53"/>
      <c r="Y112" s="21" t="str">
        <f>IFERROR(VLOOKUP(August[[#This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21" t="str">
        <f>IFERROR(VLOOKUP(August[[#This Row],[Drug Name4]],'Data Options'!$R$1:$S$100,2,FALSE), " ")</f>
        <v xml:space="preserve"> </v>
      </c>
      <c r="AI112" s="32"/>
      <c r="AJ112" s="32"/>
      <c r="AK112" s="53"/>
      <c r="AL112" s="21" t="str">
        <f>IFERROR(VLOOKUP(August[[#This Row],[Drug Name5]],'Data Options'!$R$1:$S$100,2,FALSE), " ")</f>
        <v xml:space="preserve"> </v>
      </c>
      <c r="AM112" s="32"/>
      <c r="AN112" s="32"/>
      <c r="AO112" s="53"/>
      <c r="AP112" s="21" t="str">
        <f>IFERROR(VLOOKUP(August[[#This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21" t="str">
        <f>IFERROR(VLOOKUP(August[[#This Row],[Drug Name7]],'Data Options'!$R$1:$S$100,2,FALSE), " ")</f>
        <v xml:space="preserve"> </v>
      </c>
      <c r="AZ112" s="32"/>
      <c r="BA112" s="32"/>
      <c r="BB112" s="53"/>
      <c r="BC112" s="21" t="str">
        <f>IFERROR(VLOOKUP(August[[#This Row],[Drug Name8]],'Data Options'!$R$1:$S$100,2,FALSE), " ")</f>
        <v xml:space="preserve"> </v>
      </c>
      <c r="BD112" s="32"/>
      <c r="BE112" s="32"/>
      <c r="BF112" s="53"/>
      <c r="BG112" s="21" t="str">
        <f>IFERROR(VLOOKUP(August[[#This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21" t="str">
        <f>IFERROR(VLOOKUP(August[[#This Row],[Drug Name]],'Data Options'!$R$1:$S$100,2,FALSE), " ")</f>
        <v xml:space="preserve"> </v>
      </c>
      <c r="R113" s="32"/>
      <c r="S113" s="32"/>
      <c r="T113" s="53"/>
      <c r="U113" s="21" t="str">
        <f>IFERROR(VLOOKUP(August[[#This Row],[Drug Name2]],'Data Options'!$R$1:$S$100,2,FALSE), " ")</f>
        <v xml:space="preserve"> </v>
      </c>
      <c r="V113" s="32"/>
      <c r="W113" s="32"/>
      <c r="X113" s="53"/>
      <c r="Y113" s="21" t="str">
        <f>IFERROR(VLOOKUP(August[[#This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21" t="str">
        <f>IFERROR(VLOOKUP(August[[#This Row],[Drug Name4]],'Data Options'!$R$1:$S$100,2,FALSE), " ")</f>
        <v xml:space="preserve"> </v>
      </c>
      <c r="AI113" s="32"/>
      <c r="AJ113" s="32"/>
      <c r="AK113" s="53"/>
      <c r="AL113" s="21" t="str">
        <f>IFERROR(VLOOKUP(August[[#This Row],[Drug Name5]],'Data Options'!$R$1:$S$100,2,FALSE), " ")</f>
        <v xml:space="preserve"> </v>
      </c>
      <c r="AM113" s="32"/>
      <c r="AN113" s="32"/>
      <c r="AO113" s="53"/>
      <c r="AP113" s="21" t="str">
        <f>IFERROR(VLOOKUP(August[[#This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21" t="str">
        <f>IFERROR(VLOOKUP(August[[#This Row],[Drug Name7]],'Data Options'!$R$1:$S$100,2,FALSE), " ")</f>
        <v xml:space="preserve"> </v>
      </c>
      <c r="AZ113" s="32"/>
      <c r="BA113" s="32"/>
      <c r="BB113" s="53"/>
      <c r="BC113" s="21" t="str">
        <f>IFERROR(VLOOKUP(August[[#This Row],[Drug Name8]],'Data Options'!$R$1:$S$100,2,FALSE), " ")</f>
        <v xml:space="preserve"> </v>
      </c>
      <c r="BD113" s="32"/>
      <c r="BE113" s="32"/>
      <c r="BF113" s="53"/>
      <c r="BG113" s="21" t="str">
        <f>IFERROR(VLOOKUP(August[[#This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21" t="str">
        <f>IFERROR(VLOOKUP(August[[#This Row],[Drug Name]],'Data Options'!$R$1:$S$100,2,FALSE), " ")</f>
        <v xml:space="preserve"> </v>
      </c>
      <c r="R114" s="32"/>
      <c r="S114" s="32"/>
      <c r="T114" s="53"/>
      <c r="U114" s="21" t="str">
        <f>IFERROR(VLOOKUP(August[[#This Row],[Drug Name2]],'Data Options'!$R$1:$S$100,2,FALSE), " ")</f>
        <v xml:space="preserve"> </v>
      </c>
      <c r="V114" s="32"/>
      <c r="W114" s="32"/>
      <c r="X114" s="53"/>
      <c r="Y114" s="21" t="str">
        <f>IFERROR(VLOOKUP(August[[#This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21" t="str">
        <f>IFERROR(VLOOKUP(August[[#This Row],[Drug Name4]],'Data Options'!$R$1:$S$100,2,FALSE), " ")</f>
        <v xml:space="preserve"> </v>
      </c>
      <c r="AI114" s="32"/>
      <c r="AJ114" s="32"/>
      <c r="AK114" s="53"/>
      <c r="AL114" s="21" t="str">
        <f>IFERROR(VLOOKUP(August[[#This Row],[Drug Name5]],'Data Options'!$R$1:$S$100,2,FALSE), " ")</f>
        <v xml:space="preserve"> </v>
      </c>
      <c r="AM114" s="32"/>
      <c r="AN114" s="32"/>
      <c r="AO114" s="53"/>
      <c r="AP114" s="21" t="str">
        <f>IFERROR(VLOOKUP(August[[#This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21" t="str">
        <f>IFERROR(VLOOKUP(August[[#This Row],[Drug Name7]],'Data Options'!$R$1:$S$100,2,FALSE), " ")</f>
        <v xml:space="preserve"> </v>
      </c>
      <c r="AZ114" s="32"/>
      <c r="BA114" s="32"/>
      <c r="BB114" s="53"/>
      <c r="BC114" s="21" t="str">
        <f>IFERROR(VLOOKUP(August[[#This Row],[Drug Name8]],'Data Options'!$R$1:$S$100,2,FALSE), " ")</f>
        <v xml:space="preserve"> </v>
      </c>
      <c r="BD114" s="32"/>
      <c r="BE114" s="32"/>
      <c r="BF114" s="53"/>
      <c r="BG114" s="21" t="str">
        <f>IFERROR(VLOOKUP(August[[#This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21" t="str">
        <f>IFERROR(VLOOKUP(August[[#This Row],[Drug Name]],'Data Options'!$R$1:$S$100,2,FALSE), " ")</f>
        <v xml:space="preserve"> </v>
      </c>
      <c r="R115" s="32"/>
      <c r="S115" s="32"/>
      <c r="T115" s="53"/>
      <c r="U115" s="21" t="str">
        <f>IFERROR(VLOOKUP(August[[#This Row],[Drug Name2]],'Data Options'!$R$1:$S$100,2,FALSE), " ")</f>
        <v xml:space="preserve"> </v>
      </c>
      <c r="V115" s="32"/>
      <c r="W115" s="32"/>
      <c r="X115" s="53"/>
      <c r="Y115" s="21" t="str">
        <f>IFERROR(VLOOKUP(August[[#This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21" t="str">
        <f>IFERROR(VLOOKUP(August[[#This Row],[Drug Name4]],'Data Options'!$R$1:$S$100,2,FALSE), " ")</f>
        <v xml:space="preserve"> </v>
      </c>
      <c r="AI115" s="32"/>
      <c r="AJ115" s="32"/>
      <c r="AK115" s="53"/>
      <c r="AL115" s="21" t="str">
        <f>IFERROR(VLOOKUP(August[[#This Row],[Drug Name5]],'Data Options'!$R$1:$S$100,2,FALSE), " ")</f>
        <v xml:space="preserve"> </v>
      </c>
      <c r="AM115" s="32"/>
      <c r="AN115" s="32"/>
      <c r="AO115" s="53"/>
      <c r="AP115" s="21" t="str">
        <f>IFERROR(VLOOKUP(August[[#This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21" t="str">
        <f>IFERROR(VLOOKUP(August[[#This Row],[Drug Name7]],'Data Options'!$R$1:$S$100,2,FALSE), " ")</f>
        <v xml:space="preserve"> </v>
      </c>
      <c r="AZ115" s="32"/>
      <c r="BA115" s="32"/>
      <c r="BB115" s="53"/>
      <c r="BC115" s="21" t="str">
        <f>IFERROR(VLOOKUP(August[[#This Row],[Drug Name8]],'Data Options'!$R$1:$S$100,2,FALSE), " ")</f>
        <v xml:space="preserve"> </v>
      </c>
      <c r="BD115" s="32"/>
      <c r="BE115" s="32"/>
      <c r="BF115" s="53"/>
      <c r="BG115" s="21" t="str">
        <f>IFERROR(VLOOKUP(August[[#This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21" t="str">
        <f>IFERROR(VLOOKUP(August[[#This Row],[Drug Name]],'Data Options'!$R$1:$S$100,2,FALSE), " ")</f>
        <v xml:space="preserve"> </v>
      </c>
      <c r="R116" s="32"/>
      <c r="S116" s="32"/>
      <c r="T116" s="53"/>
      <c r="U116" s="21" t="str">
        <f>IFERROR(VLOOKUP(August[[#This Row],[Drug Name2]],'Data Options'!$R$1:$S$100,2,FALSE), " ")</f>
        <v xml:space="preserve"> </v>
      </c>
      <c r="V116" s="32"/>
      <c r="W116" s="32"/>
      <c r="X116" s="53"/>
      <c r="Y116" s="21" t="str">
        <f>IFERROR(VLOOKUP(August[[#This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21" t="str">
        <f>IFERROR(VLOOKUP(August[[#This Row],[Drug Name4]],'Data Options'!$R$1:$S$100,2,FALSE), " ")</f>
        <v xml:space="preserve"> </v>
      </c>
      <c r="AI116" s="32"/>
      <c r="AJ116" s="32"/>
      <c r="AK116" s="53"/>
      <c r="AL116" s="21" t="str">
        <f>IFERROR(VLOOKUP(August[[#This Row],[Drug Name5]],'Data Options'!$R$1:$S$100,2,FALSE), " ")</f>
        <v xml:space="preserve"> </v>
      </c>
      <c r="AM116" s="32"/>
      <c r="AN116" s="32"/>
      <c r="AO116" s="53"/>
      <c r="AP116" s="21" t="str">
        <f>IFERROR(VLOOKUP(August[[#This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21" t="str">
        <f>IFERROR(VLOOKUP(August[[#This Row],[Drug Name7]],'Data Options'!$R$1:$S$100,2,FALSE), " ")</f>
        <v xml:space="preserve"> </v>
      </c>
      <c r="AZ116" s="32"/>
      <c r="BA116" s="32"/>
      <c r="BB116" s="53"/>
      <c r="BC116" s="21" t="str">
        <f>IFERROR(VLOOKUP(August[[#This Row],[Drug Name8]],'Data Options'!$R$1:$S$100,2,FALSE), " ")</f>
        <v xml:space="preserve"> </v>
      </c>
      <c r="BD116" s="32"/>
      <c r="BE116" s="32"/>
      <c r="BF116" s="53"/>
      <c r="BG116" s="21" t="str">
        <f>IFERROR(VLOOKUP(August[[#This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21" t="str">
        <f>IFERROR(VLOOKUP(August[[#This Row],[Drug Name]],'Data Options'!$R$1:$S$100,2,FALSE), " ")</f>
        <v xml:space="preserve"> </v>
      </c>
      <c r="R117" s="32"/>
      <c r="S117" s="32"/>
      <c r="T117" s="53"/>
      <c r="U117" s="21" t="str">
        <f>IFERROR(VLOOKUP(August[[#This Row],[Drug Name2]],'Data Options'!$R$1:$S$100,2,FALSE), " ")</f>
        <v xml:space="preserve"> </v>
      </c>
      <c r="V117" s="32"/>
      <c r="W117" s="32"/>
      <c r="X117" s="53"/>
      <c r="Y117" s="21" t="str">
        <f>IFERROR(VLOOKUP(August[[#This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21" t="str">
        <f>IFERROR(VLOOKUP(August[[#This Row],[Drug Name4]],'Data Options'!$R$1:$S$100,2,FALSE), " ")</f>
        <v xml:space="preserve"> </v>
      </c>
      <c r="AI117" s="32"/>
      <c r="AJ117" s="32"/>
      <c r="AK117" s="53"/>
      <c r="AL117" s="21" t="str">
        <f>IFERROR(VLOOKUP(August[[#This Row],[Drug Name5]],'Data Options'!$R$1:$S$100,2,FALSE), " ")</f>
        <v xml:space="preserve"> </v>
      </c>
      <c r="AM117" s="32"/>
      <c r="AN117" s="32"/>
      <c r="AO117" s="53"/>
      <c r="AP117" s="21" t="str">
        <f>IFERROR(VLOOKUP(August[[#This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21" t="str">
        <f>IFERROR(VLOOKUP(August[[#This Row],[Drug Name7]],'Data Options'!$R$1:$S$100,2,FALSE), " ")</f>
        <v xml:space="preserve"> </v>
      </c>
      <c r="AZ117" s="32"/>
      <c r="BA117" s="32"/>
      <c r="BB117" s="53"/>
      <c r="BC117" s="21" t="str">
        <f>IFERROR(VLOOKUP(August[[#This Row],[Drug Name8]],'Data Options'!$R$1:$S$100,2,FALSE), " ")</f>
        <v xml:space="preserve"> </v>
      </c>
      <c r="BD117" s="32"/>
      <c r="BE117" s="32"/>
      <c r="BF117" s="53"/>
      <c r="BG117" s="21" t="str">
        <f>IFERROR(VLOOKUP(August[[#This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21" t="str">
        <f>IFERROR(VLOOKUP(August[[#This Row],[Drug Name]],'Data Options'!$R$1:$S$100,2,FALSE), " ")</f>
        <v xml:space="preserve"> </v>
      </c>
      <c r="R118" s="32"/>
      <c r="S118" s="32"/>
      <c r="T118" s="53"/>
      <c r="U118" s="21" t="str">
        <f>IFERROR(VLOOKUP(August[[#This Row],[Drug Name2]],'Data Options'!$R$1:$S$100,2,FALSE), " ")</f>
        <v xml:space="preserve"> </v>
      </c>
      <c r="V118" s="32"/>
      <c r="W118" s="32"/>
      <c r="X118" s="53"/>
      <c r="Y118" s="21" t="str">
        <f>IFERROR(VLOOKUP(August[[#This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21" t="str">
        <f>IFERROR(VLOOKUP(August[[#This Row],[Drug Name4]],'Data Options'!$R$1:$S$100,2,FALSE), " ")</f>
        <v xml:space="preserve"> </v>
      </c>
      <c r="AI118" s="32"/>
      <c r="AJ118" s="32"/>
      <c r="AK118" s="53"/>
      <c r="AL118" s="21" t="str">
        <f>IFERROR(VLOOKUP(August[[#This Row],[Drug Name5]],'Data Options'!$R$1:$S$100,2,FALSE), " ")</f>
        <v xml:space="preserve"> </v>
      </c>
      <c r="AM118" s="32"/>
      <c r="AN118" s="32"/>
      <c r="AO118" s="53"/>
      <c r="AP118" s="21" t="str">
        <f>IFERROR(VLOOKUP(August[[#This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21" t="str">
        <f>IFERROR(VLOOKUP(August[[#This Row],[Drug Name7]],'Data Options'!$R$1:$S$100,2,FALSE), " ")</f>
        <v xml:space="preserve"> </v>
      </c>
      <c r="AZ118" s="32"/>
      <c r="BA118" s="32"/>
      <c r="BB118" s="53"/>
      <c r="BC118" s="21" t="str">
        <f>IFERROR(VLOOKUP(August[[#This Row],[Drug Name8]],'Data Options'!$R$1:$S$100,2,FALSE), " ")</f>
        <v xml:space="preserve"> </v>
      </c>
      <c r="BD118" s="32"/>
      <c r="BE118" s="32"/>
      <c r="BF118" s="53"/>
      <c r="BG118" s="21" t="str">
        <f>IFERROR(VLOOKUP(August[[#This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21" t="str">
        <f>IFERROR(VLOOKUP(August[[#This Row],[Drug Name]],'Data Options'!$R$1:$S$100,2,FALSE), " ")</f>
        <v xml:space="preserve"> </v>
      </c>
      <c r="R119" s="32"/>
      <c r="S119" s="32"/>
      <c r="T119" s="53"/>
      <c r="U119" s="21" t="str">
        <f>IFERROR(VLOOKUP(August[[#This Row],[Drug Name2]],'Data Options'!$R$1:$S$100,2,FALSE), " ")</f>
        <v xml:space="preserve"> </v>
      </c>
      <c r="V119" s="32"/>
      <c r="W119" s="32"/>
      <c r="X119" s="53"/>
      <c r="Y119" s="21" t="str">
        <f>IFERROR(VLOOKUP(August[[#This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21" t="str">
        <f>IFERROR(VLOOKUP(August[[#This Row],[Drug Name4]],'Data Options'!$R$1:$S$100,2,FALSE), " ")</f>
        <v xml:space="preserve"> </v>
      </c>
      <c r="AI119" s="32"/>
      <c r="AJ119" s="32"/>
      <c r="AK119" s="53"/>
      <c r="AL119" s="21" t="str">
        <f>IFERROR(VLOOKUP(August[[#This Row],[Drug Name5]],'Data Options'!$R$1:$S$100,2,FALSE), " ")</f>
        <v xml:space="preserve"> </v>
      </c>
      <c r="AM119" s="32"/>
      <c r="AN119" s="32"/>
      <c r="AO119" s="53"/>
      <c r="AP119" s="21" t="str">
        <f>IFERROR(VLOOKUP(August[[#This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21" t="str">
        <f>IFERROR(VLOOKUP(August[[#This Row],[Drug Name7]],'Data Options'!$R$1:$S$100,2,FALSE), " ")</f>
        <v xml:space="preserve"> </v>
      </c>
      <c r="AZ119" s="32"/>
      <c r="BA119" s="32"/>
      <c r="BB119" s="53"/>
      <c r="BC119" s="21" t="str">
        <f>IFERROR(VLOOKUP(August[[#This Row],[Drug Name8]],'Data Options'!$R$1:$S$100,2,FALSE), " ")</f>
        <v xml:space="preserve"> </v>
      </c>
      <c r="BD119" s="32"/>
      <c r="BE119" s="32"/>
      <c r="BF119" s="53"/>
      <c r="BG119" s="21" t="str">
        <f>IFERROR(VLOOKUP(August[[#This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21" t="str">
        <f>IFERROR(VLOOKUP(August[[#This Row],[Drug Name]],'Data Options'!$R$1:$S$100,2,FALSE), " ")</f>
        <v xml:space="preserve"> </v>
      </c>
      <c r="R120" s="32"/>
      <c r="S120" s="32"/>
      <c r="T120" s="53"/>
      <c r="U120" s="21" t="str">
        <f>IFERROR(VLOOKUP(August[[#This Row],[Drug Name2]],'Data Options'!$R$1:$S$100,2,FALSE), " ")</f>
        <v xml:space="preserve"> </v>
      </c>
      <c r="V120" s="32"/>
      <c r="W120" s="32"/>
      <c r="X120" s="53"/>
      <c r="Y120" s="21" t="str">
        <f>IFERROR(VLOOKUP(August[[#This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21" t="str">
        <f>IFERROR(VLOOKUP(August[[#This Row],[Drug Name4]],'Data Options'!$R$1:$S$100,2,FALSE), " ")</f>
        <v xml:space="preserve"> </v>
      </c>
      <c r="AI120" s="32"/>
      <c r="AJ120" s="32"/>
      <c r="AK120" s="53"/>
      <c r="AL120" s="21" t="str">
        <f>IFERROR(VLOOKUP(August[[#This Row],[Drug Name5]],'Data Options'!$R$1:$S$100,2,FALSE), " ")</f>
        <v xml:space="preserve"> </v>
      </c>
      <c r="AM120" s="32"/>
      <c r="AN120" s="32"/>
      <c r="AO120" s="53"/>
      <c r="AP120" s="21" t="str">
        <f>IFERROR(VLOOKUP(August[[#This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21" t="str">
        <f>IFERROR(VLOOKUP(August[[#This Row],[Drug Name7]],'Data Options'!$R$1:$S$100,2,FALSE), " ")</f>
        <v xml:space="preserve"> </v>
      </c>
      <c r="AZ120" s="32"/>
      <c r="BA120" s="32"/>
      <c r="BB120" s="53"/>
      <c r="BC120" s="21" t="str">
        <f>IFERROR(VLOOKUP(August[[#This Row],[Drug Name8]],'Data Options'!$R$1:$S$100,2,FALSE), " ")</f>
        <v xml:space="preserve"> </v>
      </c>
      <c r="BD120" s="32"/>
      <c r="BE120" s="32"/>
      <c r="BF120" s="53"/>
      <c r="BG120" s="21" t="str">
        <f>IFERROR(VLOOKUP(August[[#This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21" t="str">
        <f>IFERROR(VLOOKUP(August[[#This Row],[Drug Name]],'Data Options'!$R$1:$S$100,2,FALSE), " ")</f>
        <v xml:space="preserve"> </v>
      </c>
      <c r="R121" s="32"/>
      <c r="S121" s="32"/>
      <c r="T121" s="53"/>
      <c r="U121" s="21" t="str">
        <f>IFERROR(VLOOKUP(August[[#This Row],[Drug Name2]],'Data Options'!$R$1:$S$100,2,FALSE), " ")</f>
        <v xml:space="preserve"> </v>
      </c>
      <c r="V121" s="32"/>
      <c r="W121" s="32"/>
      <c r="X121" s="53"/>
      <c r="Y121" s="21" t="str">
        <f>IFERROR(VLOOKUP(August[[#This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21" t="str">
        <f>IFERROR(VLOOKUP(August[[#This Row],[Drug Name4]],'Data Options'!$R$1:$S$100,2,FALSE), " ")</f>
        <v xml:space="preserve"> </v>
      </c>
      <c r="AI121" s="32"/>
      <c r="AJ121" s="32"/>
      <c r="AK121" s="53"/>
      <c r="AL121" s="21" t="str">
        <f>IFERROR(VLOOKUP(August[[#This Row],[Drug Name5]],'Data Options'!$R$1:$S$100,2,FALSE), " ")</f>
        <v xml:space="preserve"> </v>
      </c>
      <c r="AM121" s="32"/>
      <c r="AN121" s="32"/>
      <c r="AO121" s="53"/>
      <c r="AP121" s="21" t="str">
        <f>IFERROR(VLOOKUP(August[[#This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21" t="str">
        <f>IFERROR(VLOOKUP(August[[#This Row],[Drug Name7]],'Data Options'!$R$1:$S$100,2,FALSE), " ")</f>
        <v xml:space="preserve"> </v>
      </c>
      <c r="AZ121" s="32"/>
      <c r="BA121" s="32"/>
      <c r="BB121" s="53"/>
      <c r="BC121" s="21" t="str">
        <f>IFERROR(VLOOKUP(August[[#This Row],[Drug Name8]],'Data Options'!$R$1:$S$100,2,FALSE), " ")</f>
        <v xml:space="preserve"> </v>
      </c>
      <c r="BD121" s="32"/>
      <c r="BE121" s="32"/>
      <c r="BF121" s="53"/>
      <c r="BG121" s="21" t="str">
        <f>IFERROR(VLOOKUP(August[[#This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21" t="str">
        <f>IFERROR(VLOOKUP(August[[#This Row],[Drug Name]],'Data Options'!$R$1:$S$100,2,FALSE), " ")</f>
        <v xml:space="preserve"> </v>
      </c>
      <c r="R122" s="32"/>
      <c r="S122" s="32"/>
      <c r="T122" s="53"/>
      <c r="U122" s="21" t="str">
        <f>IFERROR(VLOOKUP(August[[#This Row],[Drug Name2]],'Data Options'!$R$1:$S$100,2,FALSE), " ")</f>
        <v xml:space="preserve"> </v>
      </c>
      <c r="V122" s="32"/>
      <c r="W122" s="32"/>
      <c r="X122" s="53"/>
      <c r="Y122" s="21" t="str">
        <f>IFERROR(VLOOKUP(August[[#This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21" t="str">
        <f>IFERROR(VLOOKUP(August[[#This Row],[Drug Name4]],'Data Options'!$R$1:$S$100,2,FALSE), " ")</f>
        <v xml:space="preserve"> </v>
      </c>
      <c r="AI122" s="32"/>
      <c r="AJ122" s="32"/>
      <c r="AK122" s="53"/>
      <c r="AL122" s="21" t="str">
        <f>IFERROR(VLOOKUP(August[[#This Row],[Drug Name5]],'Data Options'!$R$1:$S$100,2,FALSE), " ")</f>
        <v xml:space="preserve"> </v>
      </c>
      <c r="AM122" s="32"/>
      <c r="AN122" s="32"/>
      <c r="AO122" s="53"/>
      <c r="AP122" s="21" t="str">
        <f>IFERROR(VLOOKUP(August[[#This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21" t="str">
        <f>IFERROR(VLOOKUP(August[[#This Row],[Drug Name7]],'Data Options'!$R$1:$S$100,2,FALSE), " ")</f>
        <v xml:space="preserve"> </v>
      </c>
      <c r="AZ122" s="32"/>
      <c r="BA122" s="32"/>
      <c r="BB122" s="53"/>
      <c r="BC122" s="21" t="str">
        <f>IFERROR(VLOOKUP(August[[#This Row],[Drug Name8]],'Data Options'!$R$1:$S$100,2,FALSE), " ")</f>
        <v xml:space="preserve"> </v>
      </c>
      <c r="BD122" s="32"/>
      <c r="BE122" s="32"/>
      <c r="BF122" s="53"/>
      <c r="BG122" s="21" t="str">
        <f>IFERROR(VLOOKUP(August[[#This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21" t="str">
        <f>IFERROR(VLOOKUP(August[[#This Row],[Drug Name]],'Data Options'!$R$1:$S$100,2,FALSE), " ")</f>
        <v xml:space="preserve"> </v>
      </c>
      <c r="R123" s="32"/>
      <c r="S123" s="32"/>
      <c r="T123" s="53"/>
      <c r="U123" s="21" t="str">
        <f>IFERROR(VLOOKUP(August[[#This Row],[Drug Name2]],'Data Options'!$R$1:$S$100,2,FALSE), " ")</f>
        <v xml:space="preserve"> </v>
      </c>
      <c r="V123" s="32"/>
      <c r="W123" s="32"/>
      <c r="X123" s="53"/>
      <c r="Y123" s="21" t="str">
        <f>IFERROR(VLOOKUP(August[[#This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21" t="str">
        <f>IFERROR(VLOOKUP(August[[#This Row],[Drug Name4]],'Data Options'!$R$1:$S$100,2,FALSE), " ")</f>
        <v xml:space="preserve"> </v>
      </c>
      <c r="AI123" s="32"/>
      <c r="AJ123" s="32"/>
      <c r="AK123" s="53"/>
      <c r="AL123" s="21" t="str">
        <f>IFERROR(VLOOKUP(August[[#This Row],[Drug Name5]],'Data Options'!$R$1:$S$100,2,FALSE), " ")</f>
        <v xml:space="preserve"> </v>
      </c>
      <c r="AM123" s="32"/>
      <c r="AN123" s="32"/>
      <c r="AO123" s="53"/>
      <c r="AP123" s="21" t="str">
        <f>IFERROR(VLOOKUP(August[[#This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21" t="str">
        <f>IFERROR(VLOOKUP(August[[#This Row],[Drug Name7]],'Data Options'!$R$1:$S$100,2,FALSE), " ")</f>
        <v xml:space="preserve"> </v>
      </c>
      <c r="AZ123" s="32"/>
      <c r="BA123" s="32"/>
      <c r="BB123" s="53"/>
      <c r="BC123" s="21" t="str">
        <f>IFERROR(VLOOKUP(August[[#This Row],[Drug Name8]],'Data Options'!$R$1:$S$100,2,FALSE), " ")</f>
        <v xml:space="preserve"> </v>
      </c>
      <c r="BD123" s="32"/>
      <c r="BE123" s="32"/>
      <c r="BF123" s="53"/>
      <c r="BG123" s="21" t="str">
        <f>IFERROR(VLOOKUP(August[[#This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21" t="str">
        <f>IFERROR(VLOOKUP(August[[#This Row],[Drug Name]],'Data Options'!$R$1:$S$100,2,FALSE), " ")</f>
        <v xml:space="preserve"> </v>
      </c>
      <c r="R124" s="32"/>
      <c r="S124" s="32"/>
      <c r="T124" s="53"/>
      <c r="U124" s="21" t="str">
        <f>IFERROR(VLOOKUP(August[[#This Row],[Drug Name2]],'Data Options'!$R$1:$S$100,2,FALSE), " ")</f>
        <v xml:space="preserve"> </v>
      </c>
      <c r="V124" s="32"/>
      <c r="W124" s="32"/>
      <c r="X124" s="53"/>
      <c r="Y124" s="21" t="str">
        <f>IFERROR(VLOOKUP(August[[#This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21" t="str">
        <f>IFERROR(VLOOKUP(August[[#This Row],[Drug Name4]],'Data Options'!$R$1:$S$100,2,FALSE), " ")</f>
        <v xml:space="preserve"> </v>
      </c>
      <c r="AI124" s="32"/>
      <c r="AJ124" s="32"/>
      <c r="AK124" s="53"/>
      <c r="AL124" s="21" t="str">
        <f>IFERROR(VLOOKUP(August[[#This Row],[Drug Name5]],'Data Options'!$R$1:$S$100,2,FALSE), " ")</f>
        <v xml:space="preserve"> </v>
      </c>
      <c r="AM124" s="32"/>
      <c r="AN124" s="32"/>
      <c r="AO124" s="53"/>
      <c r="AP124" s="21" t="str">
        <f>IFERROR(VLOOKUP(August[[#This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21" t="str">
        <f>IFERROR(VLOOKUP(August[[#This Row],[Drug Name7]],'Data Options'!$R$1:$S$100,2,FALSE), " ")</f>
        <v xml:space="preserve"> </v>
      </c>
      <c r="AZ124" s="32"/>
      <c r="BA124" s="32"/>
      <c r="BB124" s="53"/>
      <c r="BC124" s="21" t="str">
        <f>IFERROR(VLOOKUP(August[[#This Row],[Drug Name8]],'Data Options'!$R$1:$S$100,2,FALSE), " ")</f>
        <v xml:space="preserve"> </v>
      </c>
      <c r="BD124" s="32"/>
      <c r="BE124" s="32"/>
      <c r="BF124" s="53"/>
      <c r="BG124" s="21" t="str">
        <f>IFERROR(VLOOKUP(August[[#This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21" t="str">
        <f>IFERROR(VLOOKUP(August[[#This Row],[Drug Name]],'Data Options'!$R$1:$S$100,2,FALSE), " ")</f>
        <v xml:space="preserve"> </v>
      </c>
      <c r="R125" s="32"/>
      <c r="S125" s="32"/>
      <c r="T125" s="53"/>
      <c r="U125" s="21" t="str">
        <f>IFERROR(VLOOKUP(August[[#This Row],[Drug Name2]],'Data Options'!$R$1:$S$100,2,FALSE), " ")</f>
        <v xml:space="preserve"> </v>
      </c>
      <c r="V125" s="32"/>
      <c r="W125" s="32"/>
      <c r="X125" s="53"/>
      <c r="Y125" s="21" t="str">
        <f>IFERROR(VLOOKUP(August[[#This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21" t="str">
        <f>IFERROR(VLOOKUP(August[[#This Row],[Drug Name4]],'Data Options'!$R$1:$S$100,2,FALSE), " ")</f>
        <v xml:space="preserve"> </v>
      </c>
      <c r="AI125" s="32"/>
      <c r="AJ125" s="32"/>
      <c r="AK125" s="53"/>
      <c r="AL125" s="21" t="str">
        <f>IFERROR(VLOOKUP(August[[#This Row],[Drug Name5]],'Data Options'!$R$1:$S$100,2,FALSE), " ")</f>
        <v xml:space="preserve"> </v>
      </c>
      <c r="AM125" s="32"/>
      <c r="AN125" s="32"/>
      <c r="AO125" s="53"/>
      <c r="AP125" s="21" t="str">
        <f>IFERROR(VLOOKUP(August[[#This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21" t="str">
        <f>IFERROR(VLOOKUP(August[[#This Row],[Drug Name7]],'Data Options'!$R$1:$S$100,2,FALSE), " ")</f>
        <v xml:space="preserve"> </v>
      </c>
      <c r="AZ125" s="32"/>
      <c r="BA125" s="32"/>
      <c r="BB125" s="53"/>
      <c r="BC125" s="21" t="str">
        <f>IFERROR(VLOOKUP(August[[#This Row],[Drug Name8]],'Data Options'!$R$1:$S$100,2,FALSE), " ")</f>
        <v xml:space="preserve"> </v>
      </c>
      <c r="BD125" s="32"/>
      <c r="BE125" s="32"/>
      <c r="BF125" s="53"/>
      <c r="BG125" s="21" t="str">
        <f>IFERROR(VLOOKUP(August[[#This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21" t="str">
        <f>IFERROR(VLOOKUP(August[[#This Row],[Drug Name]],'Data Options'!$R$1:$S$100,2,FALSE), " ")</f>
        <v xml:space="preserve"> </v>
      </c>
      <c r="R126" s="32"/>
      <c r="S126" s="32"/>
      <c r="T126" s="53"/>
      <c r="U126" s="21" t="str">
        <f>IFERROR(VLOOKUP(August[[#This Row],[Drug Name2]],'Data Options'!$R$1:$S$100,2,FALSE), " ")</f>
        <v xml:space="preserve"> </v>
      </c>
      <c r="V126" s="32"/>
      <c r="W126" s="32"/>
      <c r="X126" s="53"/>
      <c r="Y126" s="21" t="str">
        <f>IFERROR(VLOOKUP(August[[#This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21" t="str">
        <f>IFERROR(VLOOKUP(August[[#This Row],[Drug Name4]],'Data Options'!$R$1:$S$100,2,FALSE), " ")</f>
        <v xml:space="preserve"> </v>
      </c>
      <c r="AI126" s="32"/>
      <c r="AJ126" s="32"/>
      <c r="AK126" s="53"/>
      <c r="AL126" s="21" t="str">
        <f>IFERROR(VLOOKUP(August[[#This Row],[Drug Name5]],'Data Options'!$R$1:$S$100,2,FALSE), " ")</f>
        <v xml:space="preserve"> </v>
      </c>
      <c r="AM126" s="32"/>
      <c r="AN126" s="32"/>
      <c r="AO126" s="53"/>
      <c r="AP126" s="21" t="str">
        <f>IFERROR(VLOOKUP(August[[#This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21" t="str">
        <f>IFERROR(VLOOKUP(August[[#This Row],[Drug Name7]],'Data Options'!$R$1:$S$100,2,FALSE), " ")</f>
        <v xml:space="preserve"> </v>
      </c>
      <c r="AZ126" s="32"/>
      <c r="BA126" s="32"/>
      <c r="BB126" s="53"/>
      <c r="BC126" s="21" t="str">
        <f>IFERROR(VLOOKUP(August[[#This Row],[Drug Name8]],'Data Options'!$R$1:$S$100,2,FALSE), " ")</f>
        <v xml:space="preserve"> </v>
      </c>
      <c r="BD126" s="32"/>
      <c r="BE126" s="32"/>
      <c r="BF126" s="53"/>
      <c r="BG126" s="21" t="str">
        <f>IFERROR(VLOOKUP(August[[#This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21" t="str">
        <f>IFERROR(VLOOKUP(August[[#This Row],[Drug Name]],'Data Options'!$R$1:$S$100,2,FALSE), " ")</f>
        <v xml:space="preserve"> </v>
      </c>
      <c r="R127" s="32"/>
      <c r="S127" s="32"/>
      <c r="T127" s="53"/>
      <c r="U127" s="21" t="str">
        <f>IFERROR(VLOOKUP(August[[#This Row],[Drug Name2]],'Data Options'!$R$1:$S$100,2,FALSE), " ")</f>
        <v xml:space="preserve"> </v>
      </c>
      <c r="V127" s="32"/>
      <c r="W127" s="32"/>
      <c r="X127" s="53"/>
      <c r="Y127" s="21" t="str">
        <f>IFERROR(VLOOKUP(August[[#This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21" t="str">
        <f>IFERROR(VLOOKUP(August[[#This Row],[Drug Name4]],'Data Options'!$R$1:$S$100,2,FALSE), " ")</f>
        <v xml:space="preserve"> </v>
      </c>
      <c r="AI127" s="32"/>
      <c r="AJ127" s="32"/>
      <c r="AK127" s="53"/>
      <c r="AL127" s="21" t="str">
        <f>IFERROR(VLOOKUP(August[[#This Row],[Drug Name5]],'Data Options'!$R$1:$S$100,2,FALSE), " ")</f>
        <v xml:space="preserve"> </v>
      </c>
      <c r="AM127" s="32"/>
      <c r="AN127" s="32"/>
      <c r="AO127" s="53"/>
      <c r="AP127" s="21" t="str">
        <f>IFERROR(VLOOKUP(August[[#This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21" t="str">
        <f>IFERROR(VLOOKUP(August[[#This Row],[Drug Name7]],'Data Options'!$R$1:$S$100,2,FALSE), " ")</f>
        <v xml:space="preserve"> </v>
      </c>
      <c r="AZ127" s="32"/>
      <c r="BA127" s="32"/>
      <c r="BB127" s="53"/>
      <c r="BC127" s="21" t="str">
        <f>IFERROR(VLOOKUP(August[[#This Row],[Drug Name8]],'Data Options'!$R$1:$S$100,2,FALSE), " ")</f>
        <v xml:space="preserve"> </v>
      </c>
      <c r="BD127" s="32"/>
      <c r="BE127" s="32"/>
      <c r="BF127" s="53"/>
      <c r="BG127" s="21" t="str">
        <f>IFERROR(VLOOKUP(August[[#This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21" t="str">
        <f>IFERROR(VLOOKUP(August[[#This Row],[Drug Name]],'Data Options'!$R$1:$S$100,2,FALSE), " ")</f>
        <v xml:space="preserve"> </v>
      </c>
      <c r="R128" s="32"/>
      <c r="S128" s="32"/>
      <c r="T128" s="53"/>
      <c r="U128" s="21" t="str">
        <f>IFERROR(VLOOKUP(August[[#This Row],[Drug Name2]],'Data Options'!$R$1:$S$100,2,FALSE), " ")</f>
        <v xml:space="preserve"> </v>
      </c>
      <c r="V128" s="32"/>
      <c r="W128" s="32"/>
      <c r="X128" s="53"/>
      <c r="Y128" s="21" t="str">
        <f>IFERROR(VLOOKUP(August[[#This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21" t="str">
        <f>IFERROR(VLOOKUP(August[[#This Row],[Drug Name4]],'Data Options'!$R$1:$S$100,2,FALSE), " ")</f>
        <v xml:space="preserve"> </v>
      </c>
      <c r="AI128" s="32"/>
      <c r="AJ128" s="32"/>
      <c r="AK128" s="53"/>
      <c r="AL128" s="21" t="str">
        <f>IFERROR(VLOOKUP(August[[#This Row],[Drug Name5]],'Data Options'!$R$1:$S$100,2,FALSE), " ")</f>
        <v xml:space="preserve"> </v>
      </c>
      <c r="AM128" s="32"/>
      <c r="AN128" s="32"/>
      <c r="AO128" s="53"/>
      <c r="AP128" s="21" t="str">
        <f>IFERROR(VLOOKUP(August[[#This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21" t="str">
        <f>IFERROR(VLOOKUP(August[[#This Row],[Drug Name7]],'Data Options'!$R$1:$S$100,2,FALSE), " ")</f>
        <v xml:space="preserve"> </v>
      </c>
      <c r="AZ128" s="32"/>
      <c r="BA128" s="32"/>
      <c r="BB128" s="53"/>
      <c r="BC128" s="21" t="str">
        <f>IFERROR(VLOOKUP(August[[#This Row],[Drug Name8]],'Data Options'!$R$1:$S$100,2,FALSE), " ")</f>
        <v xml:space="preserve"> </v>
      </c>
      <c r="BD128" s="32"/>
      <c r="BE128" s="32"/>
      <c r="BF128" s="53"/>
      <c r="BG128" s="21" t="str">
        <f>IFERROR(VLOOKUP(August[[#This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21" t="str">
        <f>IFERROR(VLOOKUP(August[[#This Row],[Drug Name]],'Data Options'!$R$1:$S$100,2,FALSE), " ")</f>
        <v xml:space="preserve"> </v>
      </c>
      <c r="R129" s="32"/>
      <c r="S129" s="32"/>
      <c r="T129" s="53"/>
      <c r="U129" s="21" t="str">
        <f>IFERROR(VLOOKUP(August[[#This Row],[Drug Name2]],'Data Options'!$R$1:$S$100,2,FALSE), " ")</f>
        <v xml:space="preserve"> </v>
      </c>
      <c r="V129" s="32"/>
      <c r="W129" s="32"/>
      <c r="X129" s="53"/>
      <c r="Y129" s="21" t="str">
        <f>IFERROR(VLOOKUP(August[[#This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21" t="str">
        <f>IFERROR(VLOOKUP(August[[#This Row],[Drug Name4]],'Data Options'!$R$1:$S$100,2,FALSE), " ")</f>
        <v xml:space="preserve"> </v>
      </c>
      <c r="AI129" s="32"/>
      <c r="AJ129" s="32"/>
      <c r="AK129" s="53"/>
      <c r="AL129" s="21" t="str">
        <f>IFERROR(VLOOKUP(August[[#This Row],[Drug Name5]],'Data Options'!$R$1:$S$100,2,FALSE), " ")</f>
        <v xml:space="preserve"> </v>
      </c>
      <c r="AM129" s="32"/>
      <c r="AN129" s="32"/>
      <c r="AO129" s="53"/>
      <c r="AP129" s="21" t="str">
        <f>IFERROR(VLOOKUP(August[[#This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21" t="str">
        <f>IFERROR(VLOOKUP(August[[#This Row],[Drug Name7]],'Data Options'!$R$1:$S$100,2,FALSE), " ")</f>
        <v xml:space="preserve"> </v>
      </c>
      <c r="AZ129" s="32"/>
      <c r="BA129" s="32"/>
      <c r="BB129" s="53"/>
      <c r="BC129" s="21" t="str">
        <f>IFERROR(VLOOKUP(August[[#This Row],[Drug Name8]],'Data Options'!$R$1:$S$100,2,FALSE), " ")</f>
        <v xml:space="preserve"> </v>
      </c>
      <c r="BD129" s="32"/>
      <c r="BE129" s="32"/>
      <c r="BF129" s="53"/>
      <c r="BG129" s="21" t="str">
        <f>IFERROR(VLOOKUP(August[[#This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21" t="str">
        <f>IFERROR(VLOOKUP(August[[#This Row],[Drug Name]],'Data Options'!$R$1:$S$100,2,FALSE), " ")</f>
        <v xml:space="preserve"> </v>
      </c>
      <c r="R130" s="32"/>
      <c r="S130" s="32"/>
      <c r="T130" s="53"/>
      <c r="U130" s="21" t="str">
        <f>IFERROR(VLOOKUP(August[[#This Row],[Drug Name2]],'Data Options'!$R$1:$S$100,2,FALSE), " ")</f>
        <v xml:space="preserve"> </v>
      </c>
      <c r="V130" s="32"/>
      <c r="W130" s="32"/>
      <c r="X130" s="53"/>
      <c r="Y130" s="21" t="str">
        <f>IFERROR(VLOOKUP(August[[#This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21" t="str">
        <f>IFERROR(VLOOKUP(August[[#This Row],[Drug Name4]],'Data Options'!$R$1:$S$100,2,FALSE), " ")</f>
        <v xml:space="preserve"> </v>
      </c>
      <c r="AI130" s="32"/>
      <c r="AJ130" s="32"/>
      <c r="AK130" s="53"/>
      <c r="AL130" s="21" t="str">
        <f>IFERROR(VLOOKUP(August[[#This Row],[Drug Name5]],'Data Options'!$R$1:$S$100,2,FALSE), " ")</f>
        <v xml:space="preserve"> </v>
      </c>
      <c r="AM130" s="32"/>
      <c r="AN130" s="32"/>
      <c r="AO130" s="53"/>
      <c r="AP130" s="21" t="str">
        <f>IFERROR(VLOOKUP(August[[#This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21" t="str">
        <f>IFERROR(VLOOKUP(August[[#This Row],[Drug Name7]],'Data Options'!$R$1:$S$100,2,FALSE), " ")</f>
        <v xml:space="preserve"> </v>
      </c>
      <c r="AZ130" s="32"/>
      <c r="BA130" s="32"/>
      <c r="BB130" s="53"/>
      <c r="BC130" s="21" t="str">
        <f>IFERROR(VLOOKUP(August[[#This Row],[Drug Name8]],'Data Options'!$R$1:$S$100,2,FALSE), " ")</f>
        <v xml:space="preserve"> </v>
      </c>
      <c r="BD130" s="32"/>
      <c r="BE130" s="32"/>
      <c r="BF130" s="53"/>
      <c r="BG130" s="21" t="str">
        <f>IFERROR(VLOOKUP(August[[#This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21" t="str">
        <f>IFERROR(VLOOKUP(August[[#This Row],[Drug Name]],'Data Options'!$R$1:$S$100,2,FALSE), " ")</f>
        <v xml:space="preserve"> </v>
      </c>
      <c r="R131" s="32"/>
      <c r="S131" s="32"/>
      <c r="T131" s="53"/>
      <c r="U131" s="21" t="str">
        <f>IFERROR(VLOOKUP(August[[#This Row],[Drug Name2]],'Data Options'!$R$1:$S$100,2,FALSE), " ")</f>
        <v xml:space="preserve"> </v>
      </c>
      <c r="V131" s="32"/>
      <c r="W131" s="32"/>
      <c r="X131" s="53"/>
      <c r="Y131" s="21" t="str">
        <f>IFERROR(VLOOKUP(August[[#This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21" t="str">
        <f>IFERROR(VLOOKUP(August[[#This Row],[Drug Name4]],'Data Options'!$R$1:$S$100,2,FALSE), " ")</f>
        <v xml:space="preserve"> </v>
      </c>
      <c r="AI131" s="32"/>
      <c r="AJ131" s="32"/>
      <c r="AK131" s="53"/>
      <c r="AL131" s="21" t="str">
        <f>IFERROR(VLOOKUP(August[[#This Row],[Drug Name5]],'Data Options'!$R$1:$S$100,2,FALSE), " ")</f>
        <v xml:space="preserve"> </v>
      </c>
      <c r="AM131" s="32"/>
      <c r="AN131" s="32"/>
      <c r="AO131" s="53"/>
      <c r="AP131" s="21" t="str">
        <f>IFERROR(VLOOKUP(August[[#This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21" t="str">
        <f>IFERROR(VLOOKUP(August[[#This Row],[Drug Name7]],'Data Options'!$R$1:$S$100,2,FALSE), " ")</f>
        <v xml:space="preserve"> </v>
      </c>
      <c r="AZ131" s="32"/>
      <c r="BA131" s="32"/>
      <c r="BB131" s="53"/>
      <c r="BC131" s="21" t="str">
        <f>IFERROR(VLOOKUP(August[[#This Row],[Drug Name8]],'Data Options'!$R$1:$S$100,2,FALSE), " ")</f>
        <v xml:space="preserve"> </v>
      </c>
      <c r="BD131" s="32"/>
      <c r="BE131" s="32"/>
      <c r="BF131" s="53"/>
      <c r="BG131" s="21" t="str">
        <f>IFERROR(VLOOKUP(August[[#This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21" t="str">
        <f>IFERROR(VLOOKUP(August[[#This Row],[Drug Name]],'Data Options'!$R$1:$S$100,2,FALSE), " ")</f>
        <v xml:space="preserve"> </v>
      </c>
      <c r="R132" s="32"/>
      <c r="S132" s="32"/>
      <c r="T132" s="53"/>
      <c r="U132" s="21" t="str">
        <f>IFERROR(VLOOKUP(August[[#This Row],[Drug Name2]],'Data Options'!$R$1:$S$100,2,FALSE), " ")</f>
        <v xml:space="preserve"> </v>
      </c>
      <c r="V132" s="32"/>
      <c r="W132" s="32"/>
      <c r="X132" s="53"/>
      <c r="Y132" s="21" t="str">
        <f>IFERROR(VLOOKUP(August[[#This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21" t="str">
        <f>IFERROR(VLOOKUP(August[[#This Row],[Drug Name4]],'Data Options'!$R$1:$S$100,2,FALSE), " ")</f>
        <v xml:space="preserve"> </v>
      </c>
      <c r="AI132" s="32"/>
      <c r="AJ132" s="32"/>
      <c r="AK132" s="53"/>
      <c r="AL132" s="21" t="str">
        <f>IFERROR(VLOOKUP(August[[#This Row],[Drug Name5]],'Data Options'!$R$1:$S$100,2,FALSE), " ")</f>
        <v xml:space="preserve"> </v>
      </c>
      <c r="AM132" s="32"/>
      <c r="AN132" s="32"/>
      <c r="AO132" s="53"/>
      <c r="AP132" s="21" t="str">
        <f>IFERROR(VLOOKUP(August[[#This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21" t="str">
        <f>IFERROR(VLOOKUP(August[[#This Row],[Drug Name7]],'Data Options'!$R$1:$S$100,2,FALSE), " ")</f>
        <v xml:space="preserve"> </v>
      </c>
      <c r="AZ132" s="32"/>
      <c r="BA132" s="32"/>
      <c r="BB132" s="53"/>
      <c r="BC132" s="21" t="str">
        <f>IFERROR(VLOOKUP(August[[#This Row],[Drug Name8]],'Data Options'!$R$1:$S$100,2,FALSE), " ")</f>
        <v xml:space="preserve"> </v>
      </c>
      <c r="BD132" s="32"/>
      <c r="BE132" s="32"/>
      <c r="BF132" s="53"/>
      <c r="BG132" s="21" t="str">
        <f>IFERROR(VLOOKUP(August[[#This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21" t="str">
        <f>IFERROR(VLOOKUP(August[[#This Row],[Drug Name]],'Data Options'!$R$1:$S$100,2,FALSE), " ")</f>
        <v xml:space="preserve"> </v>
      </c>
      <c r="R133" s="32"/>
      <c r="S133" s="32"/>
      <c r="T133" s="53"/>
      <c r="U133" s="21" t="str">
        <f>IFERROR(VLOOKUP(August[[#This Row],[Drug Name2]],'Data Options'!$R$1:$S$100,2,FALSE), " ")</f>
        <v xml:space="preserve"> </v>
      </c>
      <c r="V133" s="32"/>
      <c r="W133" s="32"/>
      <c r="X133" s="53"/>
      <c r="Y133" s="21" t="str">
        <f>IFERROR(VLOOKUP(August[[#This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21" t="str">
        <f>IFERROR(VLOOKUP(August[[#This Row],[Drug Name4]],'Data Options'!$R$1:$S$100,2,FALSE), " ")</f>
        <v xml:space="preserve"> </v>
      </c>
      <c r="AI133" s="32"/>
      <c r="AJ133" s="32"/>
      <c r="AK133" s="53"/>
      <c r="AL133" s="21" t="str">
        <f>IFERROR(VLOOKUP(August[[#This Row],[Drug Name5]],'Data Options'!$R$1:$S$100,2,FALSE), " ")</f>
        <v xml:space="preserve"> </v>
      </c>
      <c r="AM133" s="32"/>
      <c r="AN133" s="32"/>
      <c r="AO133" s="53"/>
      <c r="AP133" s="21" t="str">
        <f>IFERROR(VLOOKUP(August[[#This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21" t="str">
        <f>IFERROR(VLOOKUP(August[[#This Row],[Drug Name7]],'Data Options'!$R$1:$S$100,2,FALSE), " ")</f>
        <v xml:space="preserve"> </v>
      </c>
      <c r="AZ133" s="32"/>
      <c r="BA133" s="32"/>
      <c r="BB133" s="53"/>
      <c r="BC133" s="21" t="str">
        <f>IFERROR(VLOOKUP(August[[#This Row],[Drug Name8]],'Data Options'!$R$1:$S$100,2,FALSE), " ")</f>
        <v xml:space="preserve"> </v>
      </c>
      <c r="BD133" s="32"/>
      <c r="BE133" s="32"/>
      <c r="BF133" s="53"/>
      <c r="BG133" s="21" t="str">
        <f>IFERROR(VLOOKUP(August[[#This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21" t="str">
        <f>IFERROR(VLOOKUP(August[[#This Row],[Drug Name]],'Data Options'!$R$1:$S$100,2,FALSE), " ")</f>
        <v xml:space="preserve"> </v>
      </c>
      <c r="R134" s="32"/>
      <c r="S134" s="32"/>
      <c r="T134" s="53"/>
      <c r="U134" s="21" t="str">
        <f>IFERROR(VLOOKUP(August[[#This Row],[Drug Name2]],'Data Options'!$R$1:$S$100,2,FALSE), " ")</f>
        <v xml:space="preserve"> </v>
      </c>
      <c r="V134" s="32"/>
      <c r="W134" s="32"/>
      <c r="X134" s="53"/>
      <c r="Y134" s="21" t="str">
        <f>IFERROR(VLOOKUP(August[[#This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21" t="str">
        <f>IFERROR(VLOOKUP(August[[#This Row],[Drug Name4]],'Data Options'!$R$1:$S$100,2,FALSE), " ")</f>
        <v xml:space="preserve"> </v>
      </c>
      <c r="AI134" s="32"/>
      <c r="AJ134" s="32"/>
      <c r="AK134" s="53"/>
      <c r="AL134" s="21" t="str">
        <f>IFERROR(VLOOKUP(August[[#This Row],[Drug Name5]],'Data Options'!$R$1:$S$100,2,FALSE), " ")</f>
        <v xml:space="preserve"> </v>
      </c>
      <c r="AM134" s="32"/>
      <c r="AN134" s="32"/>
      <c r="AO134" s="53"/>
      <c r="AP134" s="21" t="str">
        <f>IFERROR(VLOOKUP(August[[#This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21" t="str">
        <f>IFERROR(VLOOKUP(August[[#This Row],[Drug Name7]],'Data Options'!$R$1:$S$100,2,FALSE), " ")</f>
        <v xml:space="preserve"> </v>
      </c>
      <c r="AZ134" s="32"/>
      <c r="BA134" s="32"/>
      <c r="BB134" s="53"/>
      <c r="BC134" s="21" t="str">
        <f>IFERROR(VLOOKUP(August[[#This Row],[Drug Name8]],'Data Options'!$R$1:$S$100,2,FALSE), " ")</f>
        <v xml:space="preserve"> </v>
      </c>
      <c r="BD134" s="32"/>
      <c r="BE134" s="32"/>
      <c r="BF134" s="53"/>
      <c r="BG134" s="21" t="str">
        <f>IFERROR(VLOOKUP(August[[#This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21" t="str">
        <f>IFERROR(VLOOKUP(August[[#This Row],[Drug Name]],'Data Options'!$R$1:$S$100,2,FALSE), " ")</f>
        <v xml:space="preserve"> </v>
      </c>
      <c r="R135" s="32"/>
      <c r="S135" s="32"/>
      <c r="T135" s="53"/>
      <c r="U135" s="21" t="str">
        <f>IFERROR(VLOOKUP(August[[#This Row],[Drug Name2]],'Data Options'!$R$1:$S$100,2,FALSE), " ")</f>
        <v xml:space="preserve"> </v>
      </c>
      <c r="V135" s="32"/>
      <c r="W135" s="32"/>
      <c r="X135" s="53"/>
      <c r="Y135" s="21" t="str">
        <f>IFERROR(VLOOKUP(August[[#This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21" t="str">
        <f>IFERROR(VLOOKUP(August[[#This Row],[Drug Name4]],'Data Options'!$R$1:$S$100,2,FALSE), " ")</f>
        <v xml:space="preserve"> </v>
      </c>
      <c r="AI135" s="32"/>
      <c r="AJ135" s="32"/>
      <c r="AK135" s="53"/>
      <c r="AL135" s="21" t="str">
        <f>IFERROR(VLOOKUP(August[[#This Row],[Drug Name5]],'Data Options'!$R$1:$S$100,2,FALSE), " ")</f>
        <v xml:space="preserve"> </v>
      </c>
      <c r="AM135" s="32"/>
      <c r="AN135" s="32"/>
      <c r="AO135" s="53"/>
      <c r="AP135" s="21" t="str">
        <f>IFERROR(VLOOKUP(August[[#This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21" t="str">
        <f>IFERROR(VLOOKUP(August[[#This Row],[Drug Name7]],'Data Options'!$R$1:$S$100,2,FALSE), " ")</f>
        <v xml:space="preserve"> </v>
      </c>
      <c r="AZ135" s="32"/>
      <c r="BA135" s="32"/>
      <c r="BB135" s="53"/>
      <c r="BC135" s="21" t="str">
        <f>IFERROR(VLOOKUP(August[[#This Row],[Drug Name8]],'Data Options'!$R$1:$S$100,2,FALSE), " ")</f>
        <v xml:space="preserve"> </v>
      </c>
      <c r="BD135" s="32"/>
      <c r="BE135" s="32"/>
      <c r="BF135" s="53"/>
      <c r="BG135" s="21" t="str">
        <f>IFERROR(VLOOKUP(August[[#This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21" t="str">
        <f>IFERROR(VLOOKUP(August[[#This Row],[Drug Name]],'Data Options'!$R$1:$S$100,2,FALSE), " ")</f>
        <v xml:space="preserve"> </v>
      </c>
      <c r="R136" s="32"/>
      <c r="S136" s="32"/>
      <c r="T136" s="53"/>
      <c r="U136" s="21" t="str">
        <f>IFERROR(VLOOKUP(August[[#This Row],[Drug Name2]],'Data Options'!$R$1:$S$100,2,FALSE), " ")</f>
        <v xml:space="preserve"> </v>
      </c>
      <c r="V136" s="32"/>
      <c r="W136" s="32"/>
      <c r="X136" s="53"/>
      <c r="Y136" s="21" t="str">
        <f>IFERROR(VLOOKUP(August[[#This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21" t="str">
        <f>IFERROR(VLOOKUP(August[[#This Row],[Drug Name4]],'Data Options'!$R$1:$S$100,2,FALSE), " ")</f>
        <v xml:space="preserve"> </v>
      </c>
      <c r="AI136" s="32"/>
      <c r="AJ136" s="32"/>
      <c r="AK136" s="53"/>
      <c r="AL136" s="21" t="str">
        <f>IFERROR(VLOOKUP(August[[#This Row],[Drug Name5]],'Data Options'!$R$1:$S$100,2,FALSE), " ")</f>
        <v xml:space="preserve"> </v>
      </c>
      <c r="AM136" s="32"/>
      <c r="AN136" s="32"/>
      <c r="AO136" s="53"/>
      <c r="AP136" s="21" t="str">
        <f>IFERROR(VLOOKUP(August[[#This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21" t="str">
        <f>IFERROR(VLOOKUP(August[[#This Row],[Drug Name7]],'Data Options'!$R$1:$S$100,2,FALSE), " ")</f>
        <v xml:space="preserve"> </v>
      </c>
      <c r="AZ136" s="32"/>
      <c r="BA136" s="32"/>
      <c r="BB136" s="53"/>
      <c r="BC136" s="21" t="str">
        <f>IFERROR(VLOOKUP(August[[#This Row],[Drug Name8]],'Data Options'!$R$1:$S$100,2,FALSE), " ")</f>
        <v xml:space="preserve"> </v>
      </c>
      <c r="BD136" s="32"/>
      <c r="BE136" s="32"/>
      <c r="BF136" s="53"/>
      <c r="BG136" s="21" t="str">
        <f>IFERROR(VLOOKUP(August[[#This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21" t="str">
        <f>IFERROR(VLOOKUP(August[[#This Row],[Drug Name]],'Data Options'!$R$1:$S$100,2,FALSE), " ")</f>
        <v xml:space="preserve"> </v>
      </c>
      <c r="R137" s="32"/>
      <c r="S137" s="32"/>
      <c r="T137" s="53"/>
      <c r="U137" s="21" t="str">
        <f>IFERROR(VLOOKUP(August[[#This Row],[Drug Name2]],'Data Options'!$R$1:$S$100,2,FALSE), " ")</f>
        <v xml:space="preserve"> </v>
      </c>
      <c r="V137" s="32"/>
      <c r="W137" s="32"/>
      <c r="X137" s="53"/>
      <c r="Y137" s="21" t="str">
        <f>IFERROR(VLOOKUP(August[[#This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21" t="str">
        <f>IFERROR(VLOOKUP(August[[#This Row],[Drug Name4]],'Data Options'!$R$1:$S$100,2,FALSE), " ")</f>
        <v xml:space="preserve"> </v>
      </c>
      <c r="AI137" s="32"/>
      <c r="AJ137" s="32"/>
      <c r="AK137" s="53"/>
      <c r="AL137" s="21" t="str">
        <f>IFERROR(VLOOKUP(August[[#This Row],[Drug Name5]],'Data Options'!$R$1:$S$100,2,FALSE), " ")</f>
        <v xml:space="preserve"> </v>
      </c>
      <c r="AM137" s="32"/>
      <c r="AN137" s="32"/>
      <c r="AO137" s="53"/>
      <c r="AP137" s="21" t="str">
        <f>IFERROR(VLOOKUP(August[[#This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21" t="str">
        <f>IFERROR(VLOOKUP(August[[#This Row],[Drug Name7]],'Data Options'!$R$1:$S$100,2,FALSE), " ")</f>
        <v xml:space="preserve"> </v>
      </c>
      <c r="AZ137" s="32"/>
      <c r="BA137" s="32"/>
      <c r="BB137" s="53"/>
      <c r="BC137" s="21" t="str">
        <f>IFERROR(VLOOKUP(August[[#This Row],[Drug Name8]],'Data Options'!$R$1:$S$100,2,FALSE), " ")</f>
        <v xml:space="preserve"> </v>
      </c>
      <c r="BD137" s="32"/>
      <c r="BE137" s="32"/>
      <c r="BF137" s="53"/>
      <c r="BG137" s="21" t="str">
        <f>IFERROR(VLOOKUP(August[[#This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21" t="str">
        <f>IFERROR(VLOOKUP(August[[#This Row],[Drug Name]],'Data Options'!$R$1:$S$100,2,FALSE), " ")</f>
        <v xml:space="preserve"> </v>
      </c>
      <c r="R138" s="32"/>
      <c r="S138" s="32"/>
      <c r="T138" s="53"/>
      <c r="U138" s="21" t="str">
        <f>IFERROR(VLOOKUP(August[[#This Row],[Drug Name2]],'Data Options'!$R$1:$S$100,2,FALSE), " ")</f>
        <v xml:space="preserve"> </v>
      </c>
      <c r="V138" s="32"/>
      <c r="W138" s="32"/>
      <c r="X138" s="53"/>
      <c r="Y138" s="21" t="str">
        <f>IFERROR(VLOOKUP(August[[#This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21" t="str">
        <f>IFERROR(VLOOKUP(August[[#This Row],[Drug Name4]],'Data Options'!$R$1:$S$100,2,FALSE), " ")</f>
        <v xml:space="preserve"> </v>
      </c>
      <c r="AI138" s="32"/>
      <c r="AJ138" s="32"/>
      <c r="AK138" s="53"/>
      <c r="AL138" s="21" t="str">
        <f>IFERROR(VLOOKUP(August[[#This Row],[Drug Name5]],'Data Options'!$R$1:$S$100,2,FALSE), " ")</f>
        <v xml:space="preserve"> </v>
      </c>
      <c r="AM138" s="32"/>
      <c r="AN138" s="32"/>
      <c r="AO138" s="53"/>
      <c r="AP138" s="21" t="str">
        <f>IFERROR(VLOOKUP(August[[#This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21" t="str">
        <f>IFERROR(VLOOKUP(August[[#This Row],[Drug Name7]],'Data Options'!$R$1:$S$100,2,FALSE), " ")</f>
        <v xml:space="preserve"> </v>
      </c>
      <c r="AZ138" s="32"/>
      <c r="BA138" s="32"/>
      <c r="BB138" s="53"/>
      <c r="BC138" s="21" t="str">
        <f>IFERROR(VLOOKUP(August[[#This Row],[Drug Name8]],'Data Options'!$R$1:$S$100,2,FALSE), " ")</f>
        <v xml:space="preserve"> </v>
      </c>
      <c r="BD138" s="32"/>
      <c r="BE138" s="32"/>
      <c r="BF138" s="53"/>
      <c r="BG138" s="21" t="str">
        <f>IFERROR(VLOOKUP(August[[#This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21" t="str">
        <f>IFERROR(VLOOKUP(August[[#This Row],[Drug Name]],'Data Options'!$R$1:$S$100,2,FALSE), " ")</f>
        <v xml:space="preserve"> </v>
      </c>
      <c r="R139" s="32"/>
      <c r="S139" s="32"/>
      <c r="T139" s="53"/>
      <c r="U139" s="21" t="str">
        <f>IFERROR(VLOOKUP(August[[#This Row],[Drug Name2]],'Data Options'!$R$1:$S$100,2,FALSE), " ")</f>
        <v xml:space="preserve"> </v>
      </c>
      <c r="V139" s="32"/>
      <c r="W139" s="32"/>
      <c r="X139" s="53"/>
      <c r="Y139" s="21" t="str">
        <f>IFERROR(VLOOKUP(August[[#This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21" t="str">
        <f>IFERROR(VLOOKUP(August[[#This Row],[Drug Name4]],'Data Options'!$R$1:$S$100,2,FALSE), " ")</f>
        <v xml:space="preserve"> </v>
      </c>
      <c r="AI139" s="32"/>
      <c r="AJ139" s="32"/>
      <c r="AK139" s="53"/>
      <c r="AL139" s="21" t="str">
        <f>IFERROR(VLOOKUP(August[[#This Row],[Drug Name5]],'Data Options'!$R$1:$S$100,2,FALSE), " ")</f>
        <v xml:space="preserve"> </v>
      </c>
      <c r="AM139" s="32"/>
      <c r="AN139" s="32"/>
      <c r="AO139" s="53"/>
      <c r="AP139" s="21" t="str">
        <f>IFERROR(VLOOKUP(August[[#This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21" t="str">
        <f>IFERROR(VLOOKUP(August[[#This Row],[Drug Name7]],'Data Options'!$R$1:$S$100,2,FALSE), " ")</f>
        <v xml:space="preserve"> </v>
      </c>
      <c r="AZ139" s="32"/>
      <c r="BA139" s="32"/>
      <c r="BB139" s="53"/>
      <c r="BC139" s="21" t="str">
        <f>IFERROR(VLOOKUP(August[[#This Row],[Drug Name8]],'Data Options'!$R$1:$S$100,2,FALSE), " ")</f>
        <v xml:space="preserve"> </v>
      </c>
      <c r="BD139" s="32"/>
      <c r="BE139" s="32"/>
      <c r="BF139" s="53"/>
      <c r="BG139" s="21" t="str">
        <f>IFERROR(VLOOKUP(August[[#This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21" t="str">
        <f>IFERROR(VLOOKUP(August[[#This Row],[Drug Name]],'Data Options'!$R$1:$S$100,2,FALSE), " ")</f>
        <v xml:space="preserve"> </v>
      </c>
      <c r="R140" s="32"/>
      <c r="S140" s="32"/>
      <c r="T140" s="53"/>
      <c r="U140" s="21" t="str">
        <f>IFERROR(VLOOKUP(August[[#This Row],[Drug Name2]],'Data Options'!$R$1:$S$100,2,FALSE), " ")</f>
        <v xml:space="preserve"> </v>
      </c>
      <c r="V140" s="32"/>
      <c r="W140" s="32"/>
      <c r="X140" s="53"/>
      <c r="Y140" s="21" t="str">
        <f>IFERROR(VLOOKUP(August[[#This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21" t="str">
        <f>IFERROR(VLOOKUP(August[[#This Row],[Drug Name4]],'Data Options'!$R$1:$S$100,2,FALSE), " ")</f>
        <v xml:space="preserve"> </v>
      </c>
      <c r="AI140" s="32"/>
      <c r="AJ140" s="32"/>
      <c r="AK140" s="53"/>
      <c r="AL140" s="21" t="str">
        <f>IFERROR(VLOOKUP(August[[#This Row],[Drug Name5]],'Data Options'!$R$1:$S$100,2,FALSE), " ")</f>
        <v xml:space="preserve"> </v>
      </c>
      <c r="AM140" s="32"/>
      <c r="AN140" s="32"/>
      <c r="AO140" s="53"/>
      <c r="AP140" s="21" t="str">
        <f>IFERROR(VLOOKUP(August[[#This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21" t="str">
        <f>IFERROR(VLOOKUP(August[[#This Row],[Drug Name7]],'Data Options'!$R$1:$S$100,2,FALSE), " ")</f>
        <v xml:space="preserve"> </v>
      </c>
      <c r="AZ140" s="32"/>
      <c r="BA140" s="32"/>
      <c r="BB140" s="53"/>
      <c r="BC140" s="21" t="str">
        <f>IFERROR(VLOOKUP(August[[#This Row],[Drug Name8]],'Data Options'!$R$1:$S$100,2,FALSE), " ")</f>
        <v xml:space="preserve"> </v>
      </c>
      <c r="BD140" s="32"/>
      <c r="BE140" s="32"/>
      <c r="BF140" s="53"/>
      <c r="BG140" s="21" t="str">
        <f>IFERROR(VLOOKUP(August[[#This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21" t="str">
        <f>IFERROR(VLOOKUP(August[[#This Row],[Drug Name]],'Data Options'!$R$1:$S$100,2,FALSE), " ")</f>
        <v xml:space="preserve"> </v>
      </c>
      <c r="R141" s="32"/>
      <c r="S141" s="32"/>
      <c r="T141" s="53"/>
      <c r="U141" s="21" t="str">
        <f>IFERROR(VLOOKUP(August[[#This Row],[Drug Name2]],'Data Options'!$R$1:$S$100,2,FALSE), " ")</f>
        <v xml:space="preserve"> </v>
      </c>
      <c r="V141" s="32"/>
      <c r="W141" s="32"/>
      <c r="X141" s="53"/>
      <c r="Y141" s="21" t="str">
        <f>IFERROR(VLOOKUP(August[[#This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21" t="str">
        <f>IFERROR(VLOOKUP(August[[#This Row],[Drug Name4]],'Data Options'!$R$1:$S$100,2,FALSE), " ")</f>
        <v xml:space="preserve"> </v>
      </c>
      <c r="AI141" s="32"/>
      <c r="AJ141" s="32"/>
      <c r="AK141" s="53"/>
      <c r="AL141" s="21" t="str">
        <f>IFERROR(VLOOKUP(August[[#This Row],[Drug Name5]],'Data Options'!$R$1:$S$100,2,FALSE), " ")</f>
        <v xml:space="preserve"> </v>
      </c>
      <c r="AM141" s="32"/>
      <c r="AN141" s="32"/>
      <c r="AO141" s="53"/>
      <c r="AP141" s="21" t="str">
        <f>IFERROR(VLOOKUP(August[[#This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21" t="str">
        <f>IFERROR(VLOOKUP(August[[#This Row],[Drug Name7]],'Data Options'!$R$1:$S$100,2,FALSE), " ")</f>
        <v xml:space="preserve"> </v>
      </c>
      <c r="AZ141" s="32"/>
      <c r="BA141" s="32"/>
      <c r="BB141" s="53"/>
      <c r="BC141" s="21" t="str">
        <f>IFERROR(VLOOKUP(August[[#This Row],[Drug Name8]],'Data Options'!$R$1:$S$100,2,FALSE), " ")</f>
        <v xml:space="preserve"> </v>
      </c>
      <c r="BD141" s="32"/>
      <c r="BE141" s="32"/>
      <c r="BF141" s="53"/>
      <c r="BG141" s="21" t="str">
        <f>IFERROR(VLOOKUP(August[[#This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21" t="str">
        <f>IFERROR(VLOOKUP(August[[#This Row],[Drug Name]],'Data Options'!$R$1:$S$100,2,FALSE), " ")</f>
        <v xml:space="preserve"> </v>
      </c>
      <c r="R142" s="32"/>
      <c r="S142" s="32"/>
      <c r="T142" s="53"/>
      <c r="U142" s="21" t="str">
        <f>IFERROR(VLOOKUP(August[[#This Row],[Drug Name2]],'Data Options'!$R$1:$S$100,2,FALSE), " ")</f>
        <v xml:space="preserve"> </v>
      </c>
      <c r="V142" s="32"/>
      <c r="W142" s="32"/>
      <c r="X142" s="53"/>
      <c r="Y142" s="21" t="str">
        <f>IFERROR(VLOOKUP(August[[#This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21" t="str">
        <f>IFERROR(VLOOKUP(August[[#This Row],[Drug Name4]],'Data Options'!$R$1:$S$100,2,FALSE), " ")</f>
        <v xml:space="preserve"> </v>
      </c>
      <c r="AI142" s="32"/>
      <c r="AJ142" s="32"/>
      <c r="AK142" s="53"/>
      <c r="AL142" s="21" t="str">
        <f>IFERROR(VLOOKUP(August[[#This Row],[Drug Name5]],'Data Options'!$R$1:$S$100,2,FALSE), " ")</f>
        <v xml:space="preserve"> </v>
      </c>
      <c r="AM142" s="32"/>
      <c r="AN142" s="32"/>
      <c r="AO142" s="53"/>
      <c r="AP142" s="21" t="str">
        <f>IFERROR(VLOOKUP(August[[#This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21" t="str">
        <f>IFERROR(VLOOKUP(August[[#This Row],[Drug Name7]],'Data Options'!$R$1:$S$100,2,FALSE), " ")</f>
        <v xml:space="preserve"> </v>
      </c>
      <c r="AZ142" s="32"/>
      <c r="BA142" s="32"/>
      <c r="BB142" s="53"/>
      <c r="BC142" s="21" t="str">
        <f>IFERROR(VLOOKUP(August[[#This Row],[Drug Name8]],'Data Options'!$R$1:$S$100,2,FALSE), " ")</f>
        <v xml:space="preserve"> </v>
      </c>
      <c r="BD142" s="32"/>
      <c r="BE142" s="32"/>
      <c r="BF142" s="53"/>
      <c r="BG142" s="21" t="str">
        <f>IFERROR(VLOOKUP(August[[#This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21" t="str">
        <f>IFERROR(VLOOKUP(August[[#This Row],[Drug Name]],'Data Options'!$R$1:$S$100,2,FALSE), " ")</f>
        <v xml:space="preserve"> </v>
      </c>
      <c r="R143" s="32"/>
      <c r="S143" s="32"/>
      <c r="T143" s="53"/>
      <c r="U143" s="21" t="str">
        <f>IFERROR(VLOOKUP(August[[#This Row],[Drug Name2]],'Data Options'!$R$1:$S$100,2,FALSE), " ")</f>
        <v xml:space="preserve"> </v>
      </c>
      <c r="V143" s="32"/>
      <c r="W143" s="32"/>
      <c r="X143" s="53"/>
      <c r="Y143" s="21" t="str">
        <f>IFERROR(VLOOKUP(August[[#This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21" t="str">
        <f>IFERROR(VLOOKUP(August[[#This Row],[Drug Name4]],'Data Options'!$R$1:$S$100,2,FALSE), " ")</f>
        <v xml:space="preserve"> </v>
      </c>
      <c r="AI143" s="32"/>
      <c r="AJ143" s="32"/>
      <c r="AK143" s="53"/>
      <c r="AL143" s="21" t="str">
        <f>IFERROR(VLOOKUP(August[[#This Row],[Drug Name5]],'Data Options'!$R$1:$S$100,2,FALSE), " ")</f>
        <v xml:space="preserve"> </v>
      </c>
      <c r="AM143" s="32"/>
      <c r="AN143" s="32"/>
      <c r="AO143" s="53"/>
      <c r="AP143" s="21" t="str">
        <f>IFERROR(VLOOKUP(August[[#This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21" t="str">
        <f>IFERROR(VLOOKUP(August[[#This Row],[Drug Name7]],'Data Options'!$R$1:$S$100,2,FALSE), " ")</f>
        <v xml:space="preserve"> </v>
      </c>
      <c r="AZ143" s="32"/>
      <c r="BA143" s="32"/>
      <c r="BB143" s="53"/>
      <c r="BC143" s="21" t="str">
        <f>IFERROR(VLOOKUP(August[[#This Row],[Drug Name8]],'Data Options'!$R$1:$S$100,2,FALSE), " ")</f>
        <v xml:space="preserve"> </v>
      </c>
      <c r="BD143" s="32"/>
      <c r="BE143" s="32"/>
      <c r="BF143" s="53"/>
      <c r="BG143" s="21" t="str">
        <f>IFERROR(VLOOKUP(August[[#This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21" t="str">
        <f>IFERROR(VLOOKUP(August[[#This Row],[Drug Name]],'Data Options'!$R$1:$S$100,2,FALSE), " ")</f>
        <v xml:space="preserve"> </v>
      </c>
      <c r="R144" s="32"/>
      <c r="S144" s="32"/>
      <c r="T144" s="53"/>
      <c r="U144" s="21" t="str">
        <f>IFERROR(VLOOKUP(August[[#This Row],[Drug Name2]],'Data Options'!$R$1:$S$100,2,FALSE), " ")</f>
        <v xml:space="preserve"> </v>
      </c>
      <c r="V144" s="32"/>
      <c r="W144" s="32"/>
      <c r="X144" s="53"/>
      <c r="Y144" s="21" t="str">
        <f>IFERROR(VLOOKUP(August[[#This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21" t="str">
        <f>IFERROR(VLOOKUP(August[[#This Row],[Drug Name4]],'Data Options'!$R$1:$S$100,2,FALSE), " ")</f>
        <v xml:space="preserve"> </v>
      </c>
      <c r="AI144" s="32"/>
      <c r="AJ144" s="32"/>
      <c r="AK144" s="53"/>
      <c r="AL144" s="21" t="str">
        <f>IFERROR(VLOOKUP(August[[#This Row],[Drug Name5]],'Data Options'!$R$1:$S$100,2,FALSE), " ")</f>
        <v xml:space="preserve"> </v>
      </c>
      <c r="AM144" s="32"/>
      <c r="AN144" s="32"/>
      <c r="AO144" s="53"/>
      <c r="AP144" s="21" t="str">
        <f>IFERROR(VLOOKUP(August[[#This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21" t="str">
        <f>IFERROR(VLOOKUP(August[[#This Row],[Drug Name7]],'Data Options'!$R$1:$S$100,2,FALSE), " ")</f>
        <v xml:space="preserve"> </v>
      </c>
      <c r="AZ144" s="32"/>
      <c r="BA144" s="32"/>
      <c r="BB144" s="53"/>
      <c r="BC144" s="21" t="str">
        <f>IFERROR(VLOOKUP(August[[#This Row],[Drug Name8]],'Data Options'!$R$1:$S$100,2,FALSE), " ")</f>
        <v xml:space="preserve"> </v>
      </c>
      <c r="BD144" s="32"/>
      <c r="BE144" s="32"/>
      <c r="BF144" s="53"/>
      <c r="BG144" s="21" t="str">
        <f>IFERROR(VLOOKUP(August[[#This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21" t="str">
        <f>IFERROR(VLOOKUP(August[[#This Row],[Drug Name]],'Data Options'!$R$1:$S$100,2,FALSE), " ")</f>
        <v xml:space="preserve"> </v>
      </c>
      <c r="R145" s="32"/>
      <c r="S145" s="32"/>
      <c r="T145" s="53"/>
      <c r="U145" s="21" t="str">
        <f>IFERROR(VLOOKUP(August[[#This Row],[Drug Name2]],'Data Options'!$R$1:$S$100,2,FALSE), " ")</f>
        <v xml:space="preserve"> </v>
      </c>
      <c r="V145" s="32"/>
      <c r="W145" s="32"/>
      <c r="X145" s="53"/>
      <c r="Y145" s="21" t="str">
        <f>IFERROR(VLOOKUP(August[[#This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21" t="str">
        <f>IFERROR(VLOOKUP(August[[#This Row],[Drug Name4]],'Data Options'!$R$1:$S$100,2,FALSE), " ")</f>
        <v xml:space="preserve"> </v>
      </c>
      <c r="AI145" s="32"/>
      <c r="AJ145" s="32"/>
      <c r="AK145" s="53"/>
      <c r="AL145" s="21" t="str">
        <f>IFERROR(VLOOKUP(August[[#This Row],[Drug Name5]],'Data Options'!$R$1:$S$100,2,FALSE), " ")</f>
        <v xml:space="preserve"> </v>
      </c>
      <c r="AM145" s="32"/>
      <c r="AN145" s="32"/>
      <c r="AO145" s="53"/>
      <c r="AP145" s="21" t="str">
        <f>IFERROR(VLOOKUP(August[[#This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21" t="str">
        <f>IFERROR(VLOOKUP(August[[#This Row],[Drug Name7]],'Data Options'!$R$1:$S$100,2,FALSE), " ")</f>
        <v xml:space="preserve"> </v>
      </c>
      <c r="AZ145" s="32"/>
      <c r="BA145" s="32"/>
      <c r="BB145" s="53"/>
      <c r="BC145" s="21" t="str">
        <f>IFERROR(VLOOKUP(August[[#This Row],[Drug Name8]],'Data Options'!$R$1:$S$100,2,FALSE), " ")</f>
        <v xml:space="preserve"> </v>
      </c>
      <c r="BD145" s="32"/>
      <c r="BE145" s="32"/>
      <c r="BF145" s="53"/>
      <c r="BG145" s="21" t="str">
        <f>IFERROR(VLOOKUP(August[[#This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21" t="str">
        <f>IFERROR(VLOOKUP(August[[#This Row],[Drug Name]],'Data Options'!$R$1:$S$100,2,FALSE), " ")</f>
        <v xml:space="preserve"> </v>
      </c>
      <c r="R146" s="32"/>
      <c r="S146" s="32"/>
      <c r="T146" s="53"/>
      <c r="U146" s="21" t="str">
        <f>IFERROR(VLOOKUP(August[[#This Row],[Drug Name2]],'Data Options'!$R$1:$S$100,2,FALSE), " ")</f>
        <v xml:space="preserve"> </v>
      </c>
      <c r="V146" s="32"/>
      <c r="W146" s="32"/>
      <c r="X146" s="53"/>
      <c r="Y146" s="21" t="str">
        <f>IFERROR(VLOOKUP(August[[#This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21" t="str">
        <f>IFERROR(VLOOKUP(August[[#This Row],[Drug Name4]],'Data Options'!$R$1:$S$100,2,FALSE), " ")</f>
        <v xml:space="preserve"> </v>
      </c>
      <c r="AI146" s="32"/>
      <c r="AJ146" s="32"/>
      <c r="AK146" s="53"/>
      <c r="AL146" s="21" t="str">
        <f>IFERROR(VLOOKUP(August[[#This Row],[Drug Name5]],'Data Options'!$R$1:$S$100,2,FALSE), " ")</f>
        <v xml:space="preserve"> </v>
      </c>
      <c r="AM146" s="32"/>
      <c r="AN146" s="32"/>
      <c r="AO146" s="53"/>
      <c r="AP146" s="21" t="str">
        <f>IFERROR(VLOOKUP(August[[#This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21" t="str">
        <f>IFERROR(VLOOKUP(August[[#This Row],[Drug Name7]],'Data Options'!$R$1:$S$100,2,FALSE), " ")</f>
        <v xml:space="preserve"> </v>
      </c>
      <c r="AZ146" s="32"/>
      <c r="BA146" s="32"/>
      <c r="BB146" s="53"/>
      <c r="BC146" s="21" t="str">
        <f>IFERROR(VLOOKUP(August[[#This Row],[Drug Name8]],'Data Options'!$R$1:$S$100,2,FALSE), " ")</f>
        <v xml:space="preserve"> </v>
      </c>
      <c r="BD146" s="32"/>
      <c r="BE146" s="32"/>
      <c r="BF146" s="53"/>
      <c r="BG146" s="21" t="str">
        <f>IFERROR(VLOOKUP(August[[#This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21" t="str">
        <f>IFERROR(VLOOKUP(August[[#This Row],[Drug Name]],'Data Options'!$R$1:$S$100,2,FALSE), " ")</f>
        <v xml:space="preserve"> </v>
      </c>
      <c r="R147" s="32"/>
      <c r="S147" s="32"/>
      <c r="T147" s="53"/>
      <c r="U147" s="21" t="str">
        <f>IFERROR(VLOOKUP(August[[#This Row],[Drug Name2]],'Data Options'!$R$1:$S$100,2,FALSE), " ")</f>
        <v xml:space="preserve"> </v>
      </c>
      <c r="V147" s="32"/>
      <c r="W147" s="32"/>
      <c r="X147" s="53"/>
      <c r="Y147" s="21" t="str">
        <f>IFERROR(VLOOKUP(August[[#This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21" t="str">
        <f>IFERROR(VLOOKUP(August[[#This Row],[Drug Name4]],'Data Options'!$R$1:$S$100,2,FALSE), " ")</f>
        <v xml:space="preserve"> </v>
      </c>
      <c r="AI147" s="32"/>
      <c r="AJ147" s="32"/>
      <c r="AK147" s="53"/>
      <c r="AL147" s="21" t="str">
        <f>IFERROR(VLOOKUP(August[[#This Row],[Drug Name5]],'Data Options'!$R$1:$S$100,2,FALSE), " ")</f>
        <v xml:space="preserve"> </v>
      </c>
      <c r="AM147" s="32"/>
      <c r="AN147" s="32"/>
      <c r="AO147" s="53"/>
      <c r="AP147" s="21" t="str">
        <f>IFERROR(VLOOKUP(August[[#This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21" t="str">
        <f>IFERROR(VLOOKUP(August[[#This Row],[Drug Name7]],'Data Options'!$R$1:$S$100,2,FALSE), " ")</f>
        <v xml:space="preserve"> </v>
      </c>
      <c r="AZ147" s="32"/>
      <c r="BA147" s="32"/>
      <c r="BB147" s="53"/>
      <c r="BC147" s="21" t="str">
        <f>IFERROR(VLOOKUP(August[[#This Row],[Drug Name8]],'Data Options'!$R$1:$S$100,2,FALSE), " ")</f>
        <v xml:space="preserve"> </v>
      </c>
      <c r="BD147" s="32"/>
      <c r="BE147" s="32"/>
      <c r="BF147" s="53"/>
      <c r="BG147" s="21" t="str">
        <f>IFERROR(VLOOKUP(August[[#This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21" t="str">
        <f>IFERROR(VLOOKUP(August[[#This Row],[Drug Name]],'Data Options'!$R$1:$S$100,2,FALSE), " ")</f>
        <v xml:space="preserve"> </v>
      </c>
      <c r="R148" s="32"/>
      <c r="S148" s="32"/>
      <c r="T148" s="53"/>
      <c r="U148" s="21" t="str">
        <f>IFERROR(VLOOKUP(August[[#This Row],[Drug Name2]],'Data Options'!$R$1:$S$100,2,FALSE), " ")</f>
        <v xml:space="preserve"> </v>
      </c>
      <c r="V148" s="32"/>
      <c r="W148" s="32"/>
      <c r="X148" s="53"/>
      <c r="Y148" s="21" t="str">
        <f>IFERROR(VLOOKUP(August[[#This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21" t="str">
        <f>IFERROR(VLOOKUP(August[[#This Row],[Drug Name4]],'Data Options'!$R$1:$S$100,2,FALSE), " ")</f>
        <v xml:space="preserve"> </v>
      </c>
      <c r="AI148" s="32"/>
      <c r="AJ148" s="32"/>
      <c r="AK148" s="53"/>
      <c r="AL148" s="21" t="str">
        <f>IFERROR(VLOOKUP(August[[#This Row],[Drug Name5]],'Data Options'!$R$1:$S$100,2,FALSE), " ")</f>
        <v xml:space="preserve"> </v>
      </c>
      <c r="AM148" s="32"/>
      <c r="AN148" s="32"/>
      <c r="AO148" s="53"/>
      <c r="AP148" s="21" t="str">
        <f>IFERROR(VLOOKUP(August[[#This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21" t="str">
        <f>IFERROR(VLOOKUP(August[[#This Row],[Drug Name7]],'Data Options'!$R$1:$S$100,2,FALSE), " ")</f>
        <v xml:space="preserve"> </v>
      </c>
      <c r="AZ148" s="32"/>
      <c r="BA148" s="32"/>
      <c r="BB148" s="53"/>
      <c r="BC148" s="21" t="str">
        <f>IFERROR(VLOOKUP(August[[#This Row],[Drug Name8]],'Data Options'!$R$1:$S$100,2,FALSE), " ")</f>
        <v xml:space="preserve"> </v>
      </c>
      <c r="BD148" s="32"/>
      <c r="BE148" s="32"/>
      <c r="BF148" s="53"/>
      <c r="BG148" s="21" t="str">
        <f>IFERROR(VLOOKUP(August[[#This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21" t="str">
        <f>IFERROR(VLOOKUP(August[[#This Row],[Drug Name]],'Data Options'!$R$1:$S$100,2,FALSE), " ")</f>
        <v xml:space="preserve"> </v>
      </c>
      <c r="R149" s="32"/>
      <c r="S149" s="32"/>
      <c r="T149" s="53"/>
      <c r="U149" s="21" t="str">
        <f>IFERROR(VLOOKUP(August[[#This Row],[Drug Name2]],'Data Options'!$R$1:$S$100,2,FALSE), " ")</f>
        <v xml:space="preserve"> </v>
      </c>
      <c r="V149" s="32"/>
      <c r="W149" s="32"/>
      <c r="X149" s="53"/>
      <c r="Y149" s="21" t="str">
        <f>IFERROR(VLOOKUP(August[[#This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21" t="str">
        <f>IFERROR(VLOOKUP(August[[#This Row],[Drug Name4]],'Data Options'!$R$1:$S$100,2,FALSE), " ")</f>
        <v xml:space="preserve"> </v>
      </c>
      <c r="AI149" s="32"/>
      <c r="AJ149" s="32"/>
      <c r="AK149" s="53"/>
      <c r="AL149" s="21" t="str">
        <f>IFERROR(VLOOKUP(August[[#This Row],[Drug Name5]],'Data Options'!$R$1:$S$100,2,FALSE), " ")</f>
        <v xml:space="preserve"> </v>
      </c>
      <c r="AM149" s="32"/>
      <c r="AN149" s="32"/>
      <c r="AO149" s="53"/>
      <c r="AP149" s="21" t="str">
        <f>IFERROR(VLOOKUP(August[[#This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21" t="str">
        <f>IFERROR(VLOOKUP(August[[#This Row],[Drug Name7]],'Data Options'!$R$1:$S$100,2,FALSE), " ")</f>
        <v xml:space="preserve"> </v>
      </c>
      <c r="AZ149" s="32"/>
      <c r="BA149" s="32"/>
      <c r="BB149" s="53"/>
      <c r="BC149" s="21" t="str">
        <f>IFERROR(VLOOKUP(August[[#This Row],[Drug Name8]],'Data Options'!$R$1:$S$100,2,FALSE), " ")</f>
        <v xml:space="preserve"> </v>
      </c>
      <c r="BD149" s="32"/>
      <c r="BE149" s="32"/>
      <c r="BF149" s="53"/>
      <c r="BG149" s="21" t="str">
        <f>IFERROR(VLOOKUP(August[[#This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21" t="str">
        <f>IFERROR(VLOOKUP(August[[#This Row],[Drug Name]],'Data Options'!$R$1:$S$100,2,FALSE), " ")</f>
        <v xml:space="preserve"> </v>
      </c>
      <c r="R150" s="32"/>
      <c r="S150" s="32"/>
      <c r="T150" s="53"/>
      <c r="U150" s="21" t="str">
        <f>IFERROR(VLOOKUP(August[[#This Row],[Drug Name2]],'Data Options'!$R$1:$S$100,2,FALSE), " ")</f>
        <v xml:space="preserve"> </v>
      </c>
      <c r="V150" s="32"/>
      <c r="W150" s="32"/>
      <c r="X150" s="53"/>
      <c r="Y150" s="21" t="str">
        <f>IFERROR(VLOOKUP(August[[#This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21" t="str">
        <f>IFERROR(VLOOKUP(August[[#This Row],[Drug Name4]],'Data Options'!$R$1:$S$100,2,FALSE), " ")</f>
        <v xml:space="preserve"> </v>
      </c>
      <c r="AI150" s="32"/>
      <c r="AJ150" s="32"/>
      <c r="AK150" s="53"/>
      <c r="AL150" s="21" t="str">
        <f>IFERROR(VLOOKUP(August[[#This Row],[Drug Name5]],'Data Options'!$R$1:$S$100,2,FALSE), " ")</f>
        <v xml:space="preserve"> </v>
      </c>
      <c r="AM150" s="32"/>
      <c r="AN150" s="32"/>
      <c r="AO150" s="53"/>
      <c r="AP150" s="21" t="str">
        <f>IFERROR(VLOOKUP(August[[#This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21" t="str">
        <f>IFERROR(VLOOKUP(August[[#This Row],[Drug Name7]],'Data Options'!$R$1:$S$100,2,FALSE), " ")</f>
        <v xml:space="preserve"> </v>
      </c>
      <c r="AZ150" s="32"/>
      <c r="BA150" s="32"/>
      <c r="BB150" s="53"/>
      <c r="BC150" s="21" t="str">
        <f>IFERROR(VLOOKUP(August[[#This Row],[Drug Name8]],'Data Options'!$R$1:$S$100,2,FALSE), " ")</f>
        <v xml:space="preserve"> </v>
      </c>
      <c r="BD150" s="32"/>
      <c r="BE150" s="32"/>
      <c r="BF150" s="53"/>
      <c r="BG150" s="21" t="str">
        <f>IFERROR(VLOOKUP(August[[#This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21" t="str">
        <f>IFERROR(VLOOKUP(August[[#This Row],[Drug Name]],'Data Options'!$R$1:$S$100,2,FALSE), " ")</f>
        <v xml:space="preserve"> </v>
      </c>
      <c r="R151" s="32"/>
      <c r="S151" s="32"/>
      <c r="T151" s="53"/>
      <c r="U151" s="21" t="str">
        <f>IFERROR(VLOOKUP(August[[#This Row],[Drug Name2]],'Data Options'!$R$1:$S$100,2,FALSE), " ")</f>
        <v xml:space="preserve"> </v>
      </c>
      <c r="V151" s="32"/>
      <c r="W151" s="32"/>
      <c r="X151" s="53"/>
      <c r="Y151" s="21" t="str">
        <f>IFERROR(VLOOKUP(August[[#This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21" t="str">
        <f>IFERROR(VLOOKUP(August[[#This Row],[Drug Name4]],'Data Options'!$R$1:$S$100,2,FALSE), " ")</f>
        <v xml:space="preserve"> </v>
      </c>
      <c r="AI151" s="32"/>
      <c r="AJ151" s="32"/>
      <c r="AK151" s="53"/>
      <c r="AL151" s="21" t="str">
        <f>IFERROR(VLOOKUP(August[[#This Row],[Drug Name5]],'Data Options'!$R$1:$S$100,2,FALSE), " ")</f>
        <v xml:space="preserve"> </v>
      </c>
      <c r="AM151" s="32"/>
      <c r="AN151" s="32"/>
      <c r="AO151" s="53"/>
      <c r="AP151" s="21" t="str">
        <f>IFERROR(VLOOKUP(August[[#This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21" t="str">
        <f>IFERROR(VLOOKUP(August[[#This Row],[Drug Name7]],'Data Options'!$R$1:$S$100,2,FALSE), " ")</f>
        <v xml:space="preserve"> </v>
      </c>
      <c r="AZ151" s="32"/>
      <c r="BA151" s="32"/>
      <c r="BB151" s="53"/>
      <c r="BC151" s="21" t="str">
        <f>IFERROR(VLOOKUP(August[[#This Row],[Drug Name8]],'Data Options'!$R$1:$S$100,2,FALSE), " ")</f>
        <v xml:space="preserve"> </v>
      </c>
      <c r="BD151" s="32"/>
      <c r="BE151" s="32"/>
      <c r="BF151" s="53"/>
      <c r="BG151" s="21" t="str">
        <f>IFERROR(VLOOKUP(August[[#This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21" t="str">
        <f>IFERROR(VLOOKUP(August[[#This Row],[Drug Name]],'Data Options'!$R$1:$S$100,2,FALSE), " ")</f>
        <v xml:space="preserve"> </v>
      </c>
      <c r="R152" s="32"/>
      <c r="S152" s="32"/>
      <c r="T152" s="53"/>
      <c r="U152" s="21" t="str">
        <f>IFERROR(VLOOKUP(August[[#This Row],[Drug Name2]],'Data Options'!$R$1:$S$100,2,FALSE), " ")</f>
        <v xml:space="preserve"> </v>
      </c>
      <c r="V152" s="32"/>
      <c r="W152" s="32"/>
      <c r="X152" s="53"/>
      <c r="Y152" s="21" t="str">
        <f>IFERROR(VLOOKUP(August[[#This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21" t="str">
        <f>IFERROR(VLOOKUP(August[[#This Row],[Drug Name4]],'Data Options'!$R$1:$S$100,2,FALSE), " ")</f>
        <v xml:space="preserve"> </v>
      </c>
      <c r="AI152" s="32"/>
      <c r="AJ152" s="32"/>
      <c r="AK152" s="53"/>
      <c r="AL152" s="21" t="str">
        <f>IFERROR(VLOOKUP(August[[#This Row],[Drug Name5]],'Data Options'!$R$1:$S$100,2,FALSE), " ")</f>
        <v xml:space="preserve"> </v>
      </c>
      <c r="AM152" s="32"/>
      <c r="AN152" s="32"/>
      <c r="AO152" s="53"/>
      <c r="AP152" s="21" t="str">
        <f>IFERROR(VLOOKUP(August[[#This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21" t="str">
        <f>IFERROR(VLOOKUP(August[[#This Row],[Drug Name7]],'Data Options'!$R$1:$S$100,2,FALSE), " ")</f>
        <v xml:space="preserve"> </v>
      </c>
      <c r="AZ152" s="32"/>
      <c r="BA152" s="32"/>
      <c r="BB152" s="53"/>
      <c r="BC152" s="21" t="str">
        <f>IFERROR(VLOOKUP(August[[#This Row],[Drug Name8]],'Data Options'!$R$1:$S$100,2,FALSE), " ")</f>
        <v xml:space="preserve"> </v>
      </c>
      <c r="BD152" s="32"/>
      <c r="BE152" s="32"/>
      <c r="BF152" s="53"/>
      <c r="BG152" s="21" t="str">
        <f>IFERROR(VLOOKUP(August[[#This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21" t="str">
        <f>IFERROR(VLOOKUP(August[[#This Row],[Drug Name]],'Data Options'!$R$1:$S$100,2,FALSE), " ")</f>
        <v xml:space="preserve"> </v>
      </c>
      <c r="R153" s="32"/>
      <c r="S153" s="32"/>
      <c r="T153" s="53"/>
      <c r="U153" s="21" t="str">
        <f>IFERROR(VLOOKUP(August[[#This Row],[Drug Name2]],'Data Options'!$R$1:$S$100,2,FALSE), " ")</f>
        <v xml:space="preserve"> </v>
      </c>
      <c r="V153" s="32"/>
      <c r="W153" s="32"/>
      <c r="X153" s="53"/>
      <c r="Y153" s="21" t="str">
        <f>IFERROR(VLOOKUP(August[[#This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21" t="str">
        <f>IFERROR(VLOOKUP(August[[#This Row],[Drug Name4]],'Data Options'!$R$1:$S$100,2,FALSE), " ")</f>
        <v xml:space="preserve"> </v>
      </c>
      <c r="AI153" s="32"/>
      <c r="AJ153" s="32"/>
      <c r="AK153" s="53"/>
      <c r="AL153" s="21" t="str">
        <f>IFERROR(VLOOKUP(August[[#This Row],[Drug Name5]],'Data Options'!$R$1:$S$100,2,FALSE), " ")</f>
        <v xml:space="preserve"> </v>
      </c>
      <c r="AM153" s="32"/>
      <c r="AN153" s="32"/>
      <c r="AO153" s="53"/>
      <c r="AP153" s="21" t="str">
        <f>IFERROR(VLOOKUP(August[[#This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21" t="str">
        <f>IFERROR(VLOOKUP(August[[#This Row],[Drug Name7]],'Data Options'!$R$1:$S$100,2,FALSE), " ")</f>
        <v xml:space="preserve"> </v>
      </c>
      <c r="AZ153" s="32"/>
      <c r="BA153" s="32"/>
      <c r="BB153" s="53"/>
      <c r="BC153" s="21" t="str">
        <f>IFERROR(VLOOKUP(August[[#This Row],[Drug Name8]],'Data Options'!$R$1:$S$100,2,FALSE), " ")</f>
        <v xml:space="preserve"> </v>
      </c>
      <c r="BD153" s="32"/>
      <c r="BE153" s="32"/>
      <c r="BF153" s="53"/>
      <c r="BG153" s="21" t="str">
        <f>IFERROR(VLOOKUP(August[[#This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21" t="str">
        <f>IFERROR(VLOOKUP(August[[#This Row],[Drug Name]],'Data Options'!$R$1:$S$100,2,FALSE), " ")</f>
        <v xml:space="preserve"> </v>
      </c>
      <c r="R154" s="32"/>
      <c r="S154" s="32"/>
      <c r="T154" s="53"/>
      <c r="U154" s="21" t="str">
        <f>IFERROR(VLOOKUP(August[[#This Row],[Drug Name2]],'Data Options'!$R$1:$S$100,2,FALSE), " ")</f>
        <v xml:space="preserve"> </v>
      </c>
      <c r="V154" s="32"/>
      <c r="W154" s="32"/>
      <c r="X154" s="53"/>
      <c r="Y154" s="21" t="str">
        <f>IFERROR(VLOOKUP(August[[#This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21" t="str">
        <f>IFERROR(VLOOKUP(August[[#This Row],[Drug Name4]],'Data Options'!$R$1:$S$100,2,FALSE), " ")</f>
        <v xml:space="preserve"> </v>
      </c>
      <c r="AI154" s="32"/>
      <c r="AJ154" s="32"/>
      <c r="AK154" s="53"/>
      <c r="AL154" s="21" t="str">
        <f>IFERROR(VLOOKUP(August[[#This Row],[Drug Name5]],'Data Options'!$R$1:$S$100,2,FALSE), " ")</f>
        <v xml:space="preserve"> </v>
      </c>
      <c r="AM154" s="32"/>
      <c r="AN154" s="32"/>
      <c r="AO154" s="53"/>
      <c r="AP154" s="21" t="str">
        <f>IFERROR(VLOOKUP(August[[#This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21" t="str">
        <f>IFERROR(VLOOKUP(August[[#This Row],[Drug Name7]],'Data Options'!$R$1:$S$100,2,FALSE), " ")</f>
        <v xml:space="preserve"> </v>
      </c>
      <c r="AZ154" s="32"/>
      <c r="BA154" s="32"/>
      <c r="BB154" s="53"/>
      <c r="BC154" s="21" t="str">
        <f>IFERROR(VLOOKUP(August[[#This Row],[Drug Name8]],'Data Options'!$R$1:$S$100,2,FALSE), " ")</f>
        <v xml:space="preserve"> </v>
      </c>
      <c r="BD154" s="32"/>
      <c r="BE154" s="32"/>
      <c r="BF154" s="53"/>
      <c r="BG154" s="21" t="str">
        <f>IFERROR(VLOOKUP(August[[#This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21" t="str">
        <f>IFERROR(VLOOKUP(August[[#This Row],[Drug Name]],'Data Options'!$R$1:$S$100,2,FALSE), " ")</f>
        <v xml:space="preserve"> </v>
      </c>
      <c r="R155" s="32"/>
      <c r="S155" s="32"/>
      <c r="T155" s="53"/>
      <c r="U155" s="21" t="str">
        <f>IFERROR(VLOOKUP(August[[#This Row],[Drug Name2]],'Data Options'!$R$1:$S$100,2,FALSE), " ")</f>
        <v xml:space="preserve"> </v>
      </c>
      <c r="V155" s="32"/>
      <c r="W155" s="32"/>
      <c r="X155" s="53"/>
      <c r="Y155" s="21" t="str">
        <f>IFERROR(VLOOKUP(August[[#This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21" t="str">
        <f>IFERROR(VLOOKUP(August[[#This Row],[Drug Name4]],'Data Options'!$R$1:$S$100,2,FALSE), " ")</f>
        <v xml:space="preserve"> </v>
      </c>
      <c r="AI155" s="32"/>
      <c r="AJ155" s="32"/>
      <c r="AK155" s="53"/>
      <c r="AL155" s="21" t="str">
        <f>IFERROR(VLOOKUP(August[[#This Row],[Drug Name5]],'Data Options'!$R$1:$S$100,2,FALSE), " ")</f>
        <v xml:space="preserve"> </v>
      </c>
      <c r="AM155" s="32"/>
      <c r="AN155" s="32"/>
      <c r="AO155" s="53"/>
      <c r="AP155" s="21" t="str">
        <f>IFERROR(VLOOKUP(August[[#This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21" t="str">
        <f>IFERROR(VLOOKUP(August[[#This Row],[Drug Name7]],'Data Options'!$R$1:$S$100,2,FALSE), " ")</f>
        <v xml:space="preserve"> </v>
      </c>
      <c r="AZ155" s="32"/>
      <c r="BA155" s="32"/>
      <c r="BB155" s="53"/>
      <c r="BC155" s="21" t="str">
        <f>IFERROR(VLOOKUP(August[[#This Row],[Drug Name8]],'Data Options'!$R$1:$S$100,2,FALSE), " ")</f>
        <v xml:space="preserve"> </v>
      </c>
      <c r="BD155" s="32"/>
      <c r="BE155" s="32"/>
      <c r="BF155" s="53"/>
      <c r="BG155" s="21" t="str">
        <f>IFERROR(VLOOKUP(August[[#This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21" t="str">
        <f>IFERROR(VLOOKUP(August[[#This Row],[Drug Name]],'Data Options'!$R$1:$S$100,2,FALSE), " ")</f>
        <v xml:space="preserve"> </v>
      </c>
      <c r="R156" s="32"/>
      <c r="S156" s="32"/>
      <c r="T156" s="53"/>
      <c r="U156" s="21" t="str">
        <f>IFERROR(VLOOKUP(August[[#This Row],[Drug Name2]],'Data Options'!$R$1:$S$100,2,FALSE), " ")</f>
        <v xml:space="preserve"> </v>
      </c>
      <c r="V156" s="32"/>
      <c r="W156" s="32"/>
      <c r="X156" s="53"/>
      <c r="Y156" s="21" t="str">
        <f>IFERROR(VLOOKUP(August[[#This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21" t="str">
        <f>IFERROR(VLOOKUP(August[[#This Row],[Drug Name4]],'Data Options'!$R$1:$S$100,2,FALSE), " ")</f>
        <v xml:space="preserve"> </v>
      </c>
      <c r="AI156" s="32"/>
      <c r="AJ156" s="32"/>
      <c r="AK156" s="53"/>
      <c r="AL156" s="21" t="str">
        <f>IFERROR(VLOOKUP(August[[#This Row],[Drug Name5]],'Data Options'!$R$1:$S$100,2,FALSE), " ")</f>
        <v xml:space="preserve"> </v>
      </c>
      <c r="AM156" s="32"/>
      <c r="AN156" s="32"/>
      <c r="AO156" s="53"/>
      <c r="AP156" s="21" t="str">
        <f>IFERROR(VLOOKUP(August[[#This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21" t="str">
        <f>IFERROR(VLOOKUP(August[[#This Row],[Drug Name7]],'Data Options'!$R$1:$S$100,2,FALSE), " ")</f>
        <v xml:space="preserve"> </v>
      </c>
      <c r="AZ156" s="32"/>
      <c r="BA156" s="32"/>
      <c r="BB156" s="53"/>
      <c r="BC156" s="21" t="str">
        <f>IFERROR(VLOOKUP(August[[#This Row],[Drug Name8]],'Data Options'!$R$1:$S$100,2,FALSE), " ")</f>
        <v xml:space="preserve"> </v>
      </c>
      <c r="BD156" s="32"/>
      <c r="BE156" s="32"/>
      <c r="BF156" s="53"/>
      <c r="BG156" s="21" t="str">
        <f>IFERROR(VLOOKUP(August[[#This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21" t="str">
        <f>IFERROR(VLOOKUP(August[[#This Row],[Drug Name]],'Data Options'!$R$1:$S$100,2,FALSE), " ")</f>
        <v xml:space="preserve"> </v>
      </c>
      <c r="R157" s="32"/>
      <c r="S157" s="32"/>
      <c r="T157" s="53"/>
      <c r="U157" s="21" t="str">
        <f>IFERROR(VLOOKUP(August[[#This Row],[Drug Name2]],'Data Options'!$R$1:$S$100,2,FALSE), " ")</f>
        <v xml:space="preserve"> </v>
      </c>
      <c r="V157" s="32"/>
      <c r="W157" s="32"/>
      <c r="X157" s="53"/>
      <c r="Y157" s="21" t="str">
        <f>IFERROR(VLOOKUP(August[[#This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21" t="str">
        <f>IFERROR(VLOOKUP(August[[#This Row],[Drug Name4]],'Data Options'!$R$1:$S$100,2,FALSE), " ")</f>
        <v xml:space="preserve"> </v>
      </c>
      <c r="AI157" s="32"/>
      <c r="AJ157" s="32"/>
      <c r="AK157" s="53"/>
      <c r="AL157" s="21" t="str">
        <f>IFERROR(VLOOKUP(August[[#This Row],[Drug Name5]],'Data Options'!$R$1:$S$100,2,FALSE), " ")</f>
        <v xml:space="preserve"> </v>
      </c>
      <c r="AM157" s="32"/>
      <c r="AN157" s="32"/>
      <c r="AO157" s="53"/>
      <c r="AP157" s="21" t="str">
        <f>IFERROR(VLOOKUP(August[[#This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21" t="str">
        <f>IFERROR(VLOOKUP(August[[#This Row],[Drug Name7]],'Data Options'!$R$1:$S$100,2,FALSE), " ")</f>
        <v xml:space="preserve"> </v>
      </c>
      <c r="AZ157" s="32"/>
      <c r="BA157" s="32"/>
      <c r="BB157" s="53"/>
      <c r="BC157" s="21" t="str">
        <f>IFERROR(VLOOKUP(August[[#This Row],[Drug Name8]],'Data Options'!$R$1:$S$100,2,FALSE), " ")</f>
        <v xml:space="preserve"> </v>
      </c>
      <c r="BD157" s="32"/>
      <c r="BE157" s="32"/>
      <c r="BF157" s="53"/>
      <c r="BG157" s="21" t="str">
        <f>IFERROR(VLOOKUP(August[[#This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21" t="str">
        <f>IFERROR(VLOOKUP(August[[#This Row],[Drug Name]],'Data Options'!$R$1:$S$100,2,FALSE), " ")</f>
        <v xml:space="preserve"> </v>
      </c>
      <c r="R158" s="32"/>
      <c r="S158" s="32"/>
      <c r="T158" s="53"/>
      <c r="U158" s="21" t="str">
        <f>IFERROR(VLOOKUP(August[[#This Row],[Drug Name2]],'Data Options'!$R$1:$S$100,2,FALSE), " ")</f>
        <v xml:space="preserve"> </v>
      </c>
      <c r="V158" s="32"/>
      <c r="W158" s="32"/>
      <c r="X158" s="53"/>
      <c r="Y158" s="21" t="str">
        <f>IFERROR(VLOOKUP(August[[#This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21" t="str">
        <f>IFERROR(VLOOKUP(August[[#This Row],[Drug Name4]],'Data Options'!$R$1:$S$100,2,FALSE), " ")</f>
        <v xml:space="preserve"> </v>
      </c>
      <c r="AI158" s="32"/>
      <c r="AJ158" s="32"/>
      <c r="AK158" s="53"/>
      <c r="AL158" s="21" t="str">
        <f>IFERROR(VLOOKUP(August[[#This Row],[Drug Name5]],'Data Options'!$R$1:$S$100,2,FALSE), " ")</f>
        <v xml:space="preserve"> </v>
      </c>
      <c r="AM158" s="32"/>
      <c r="AN158" s="32"/>
      <c r="AO158" s="53"/>
      <c r="AP158" s="21" t="str">
        <f>IFERROR(VLOOKUP(August[[#This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21" t="str">
        <f>IFERROR(VLOOKUP(August[[#This Row],[Drug Name7]],'Data Options'!$R$1:$S$100,2,FALSE), " ")</f>
        <v xml:space="preserve"> </v>
      </c>
      <c r="AZ158" s="32"/>
      <c r="BA158" s="32"/>
      <c r="BB158" s="53"/>
      <c r="BC158" s="21" t="str">
        <f>IFERROR(VLOOKUP(August[[#This Row],[Drug Name8]],'Data Options'!$R$1:$S$100,2,FALSE), " ")</f>
        <v xml:space="preserve"> </v>
      </c>
      <c r="BD158" s="32"/>
      <c r="BE158" s="32"/>
      <c r="BF158" s="53"/>
      <c r="BG158" s="21" t="str">
        <f>IFERROR(VLOOKUP(August[[#This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21" t="str">
        <f>IFERROR(VLOOKUP(August[[#This Row],[Drug Name]],'Data Options'!$R$1:$S$100,2,FALSE), " ")</f>
        <v xml:space="preserve"> </v>
      </c>
      <c r="R159" s="32"/>
      <c r="S159" s="32"/>
      <c r="T159" s="53"/>
      <c r="U159" s="21" t="str">
        <f>IFERROR(VLOOKUP(August[[#This Row],[Drug Name2]],'Data Options'!$R$1:$S$100,2,FALSE), " ")</f>
        <v xml:space="preserve"> </v>
      </c>
      <c r="V159" s="32"/>
      <c r="W159" s="32"/>
      <c r="X159" s="53"/>
      <c r="Y159" s="21" t="str">
        <f>IFERROR(VLOOKUP(August[[#This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21" t="str">
        <f>IFERROR(VLOOKUP(August[[#This Row],[Drug Name4]],'Data Options'!$R$1:$S$100,2,FALSE), " ")</f>
        <v xml:space="preserve"> </v>
      </c>
      <c r="AI159" s="32"/>
      <c r="AJ159" s="32"/>
      <c r="AK159" s="53"/>
      <c r="AL159" s="21" t="str">
        <f>IFERROR(VLOOKUP(August[[#This Row],[Drug Name5]],'Data Options'!$R$1:$S$100,2,FALSE), " ")</f>
        <v xml:space="preserve"> </v>
      </c>
      <c r="AM159" s="32"/>
      <c r="AN159" s="32"/>
      <c r="AO159" s="53"/>
      <c r="AP159" s="21" t="str">
        <f>IFERROR(VLOOKUP(August[[#This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21" t="str">
        <f>IFERROR(VLOOKUP(August[[#This Row],[Drug Name7]],'Data Options'!$R$1:$S$100,2,FALSE), " ")</f>
        <v xml:space="preserve"> </v>
      </c>
      <c r="AZ159" s="32"/>
      <c r="BA159" s="32"/>
      <c r="BB159" s="53"/>
      <c r="BC159" s="21" t="str">
        <f>IFERROR(VLOOKUP(August[[#This Row],[Drug Name8]],'Data Options'!$R$1:$S$100,2,FALSE), " ")</f>
        <v xml:space="preserve"> </v>
      </c>
      <c r="BD159" s="32"/>
      <c r="BE159" s="32"/>
      <c r="BF159" s="53"/>
      <c r="BG159" s="21" t="str">
        <f>IFERROR(VLOOKUP(August[[#This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21" t="str">
        <f>IFERROR(VLOOKUP(August[[#This Row],[Drug Name]],'Data Options'!$R$1:$S$100,2,FALSE), " ")</f>
        <v xml:space="preserve"> </v>
      </c>
      <c r="R160" s="32"/>
      <c r="S160" s="32"/>
      <c r="T160" s="53"/>
      <c r="U160" s="21" t="str">
        <f>IFERROR(VLOOKUP(August[[#This Row],[Drug Name2]],'Data Options'!$R$1:$S$100,2,FALSE), " ")</f>
        <v xml:space="preserve"> </v>
      </c>
      <c r="V160" s="32"/>
      <c r="W160" s="32"/>
      <c r="X160" s="53"/>
      <c r="Y160" s="21" t="str">
        <f>IFERROR(VLOOKUP(August[[#This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21" t="str">
        <f>IFERROR(VLOOKUP(August[[#This Row],[Drug Name4]],'Data Options'!$R$1:$S$100,2,FALSE), " ")</f>
        <v xml:space="preserve"> </v>
      </c>
      <c r="AI160" s="32"/>
      <c r="AJ160" s="32"/>
      <c r="AK160" s="53"/>
      <c r="AL160" s="21" t="str">
        <f>IFERROR(VLOOKUP(August[[#This Row],[Drug Name5]],'Data Options'!$R$1:$S$100,2,FALSE), " ")</f>
        <v xml:space="preserve"> </v>
      </c>
      <c r="AM160" s="32"/>
      <c r="AN160" s="32"/>
      <c r="AO160" s="53"/>
      <c r="AP160" s="21" t="str">
        <f>IFERROR(VLOOKUP(August[[#This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21" t="str">
        <f>IFERROR(VLOOKUP(August[[#This Row],[Drug Name7]],'Data Options'!$R$1:$S$100,2,FALSE), " ")</f>
        <v xml:space="preserve"> </v>
      </c>
      <c r="AZ160" s="32"/>
      <c r="BA160" s="32"/>
      <c r="BB160" s="53"/>
      <c r="BC160" s="21" t="str">
        <f>IFERROR(VLOOKUP(August[[#This Row],[Drug Name8]],'Data Options'!$R$1:$S$100,2,FALSE), " ")</f>
        <v xml:space="preserve"> </v>
      </c>
      <c r="BD160" s="32"/>
      <c r="BE160" s="32"/>
      <c r="BF160" s="53"/>
      <c r="BG160" s="21" t="str">
        <f>IFERROR(VLOOKUP(August[[#This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21" t="str">
        <f>IFERROR(VLOOKUP(August[[#This Row],[Drug Name]],'Data Options'!$R$1:$S$100,2,FALSE), " ")</f>
        <v xml:space="preserve"> </v>
      </c>
      <c r="R161" s="32"/>
      <c r="S161" s="32"/>
      <c r="T161" s="53"/>
      <c r="U161" s="21" t="str">
        <f>IFERROR(VLOOKUP(August[[#This Row],[Drug Name2]],'Data Options'!$R$1:$S$100,2,FALSE), " ")</f>
        <v xml:space="preserve"> </v>
      </c>
      <c r="V161" s="32"/>
      <c r="W161" s="32"/>
      <c r="X161" s="53"/>
      <c r="Y161" s="21" t="str">
        <f>IFERROR(VLOOKUP(August[[#This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21" t="str">
        <f>IFERROR(VLOOKUP(August[[#This Row],[Drug Name4]],'Data Options'!$R$1:$S$100,2,FALSE), " ")</f>
        <v xml:space="preserve"> </v>
      </c>
      <c r="AI161" s="32"/>
      <c r="AJ161" s="32"/>
      <c r="AK161" s="53"/>
      <c r="AL161" s="21" t="str">
        <f>IFERROR(VLOOKUP(August[[#This Row],[Drug Name5]],'Data Options'!$R$1:$S$100,2,FALSE), " ")</f>
        <v xml:space="preserve"> </v>
      </c>
      <c r="AM161" s="32"/>
      <c r="AN161" s="32"/>
      <c r="AO161" s="53"/>
      <c r="AP161" s="21" t="str">
        <f>IFERROR(VLOOKUP(August[[#This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21" t="str">
        <f>IFERROR(VLOOKUP(August[[#This Row],[Drug Name7]],'Data Options'!$R$1:$S$100,2,FALSE), " ")</f>
        <v xml:space="preserve"> </v>
      </c>
      <c r="AZ161" s="32"/>
      <c r="BA161" s="32"/>
      <c r="BB161" s="53"/>
      <c r="BC161" s="21" t="str">
        <f>IFERROR(VLOOKUP(August[[#This Row],[Drug Name8]],'Data Options'!$R$1:$S$100,2,FALSE), " ")</f>
        <v xml:space="preserve"> </v>
      </c>
      <c r="BD161" s="32"/>
      <c r="BE161" s="32"/>
      <c r="BF161" s="53"/>
      <c r="BG161" s="21" t="str">
        <f>IFERROR(VLOOKUP(August[[#This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21" t="str">
        <f>IFERROR(VLOOKUP(August[[#This Row],[Drug Name]],'Data Options'!$R$1:$S$100,2,FALSE), " ")</f>
        <v xml:space="preserve"> </v>
      </c>
      <c r="R162" s="32"/>
      <c r="S162" s="32"/>
      <c r="T162" s="53"/>
      <c r="U162" s="21" t="str">
        <f>IFERROR(VLOOKUP(August[[#This Row],[Drug Name2]],'Data Options'!$R$1:$S$100,2,FALSE), " ")</f>
        <v xml:space="preserve"> </v>
      </c>
      <c r="V162" s="32"/>
      <c r="W162" s="32"/>
      <c r="X162" s="53"/>
      <c r="Y162" s="21" t="str">
        <f>IFERROR(VLOOKUP(August[[#This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21" t="str">
        <f>IFERROR(VLOOKUP(August[[#This Row],[Drug Name4]],'Data Options'!$R$1:$S$100,2,FALSE), " ")</f>
        <v xml:space="preserve"> </v>
      </c>
      <c r="AI162" s="32"/>
      <c r="AJ162" s="32"/>
      <c r="AK162" s="53"/>
      <c r="AL162" s="21" t="str">
        <f>IFERROR(VLOOKUP(August[[#This Row],[Drug Name5]],'Data Options'!$R$1:$S$100,2,FALSE), " ")</f>
        <v xml:space="preserve"> </v>
      </c>
      <c r="AM162" s="32"/>
      <c r="AN162" s="32"/>
      <c r="AO162" s="53"/>
      <c r="AP162" s="21" t="str">
        <f>IFERROR(VLOOKUP(August[[#This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21" t="str">
        <f>IFERROR(VLOOKUP(August[[#This Row],[Drug Name7]],'Data Options'!$R$1:$S$100,2,FALSE), " ")</f>
        <v xml:space="preserve"> </v>
      </c>
      <c r="AZ162" s="32"/>
      <c r="BA162" s="32"/>
      <c r="BB162" s="53"/>
      <c r="BC162" s="21" t="str">
        <f>IFERROR(VLOOKUP(August[[#This Row],[Drug Name8]],'Data Options'!$R$1:$S$100,2,FALSE), " ")</f>
        <v xml:space="preserve"> </v>
      </c>
      <c r="BD162" s="32"/>
      <c r="BE162" s="32"/>
      <c r="BF162" s="53"/>
      <c r="BG162" s="21" t="str">
        <f>IFERROR(VLOOKUP(August[[#This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21" t="str">
        <f>IFERROR(VLOOKUP(August[[#This Row],[Drug Name]],'Data Options'!$R$1:$S$100,2,FALSE), " ")</f>
        <v xml:space="preserve"> </v>
      </c>
      <c r="R163" s="32"/>
      <c r="S163" s="32"/>
      <c r="T163" s="53"/>
      <c r="U163" s="21" t="str">
        <f>IFERROR(VLOOKUP(August[[#This Row],[Drug Name2]],'Data Options'!$R$1:$S$100,2,FALSE), " ")</f>
        <v xml:space="preserve"> </v>
      </c>
      <c r="V163" s="32"/>
      <c r="W163" s="32"/>
      <c r="X163" s="53"/>
      <c r="Y163" s="21" t="str">
        <f>IFERROR(VLOOKUP(August[[#This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21" t="str">
        <f>IFERROR(VLOOKUP(August[[#This Row],[Drug Name4]],'Data Options'!$R$1:$S$100,2,FALSE), " ")</f>
        <v xml:space="preserve"> </v>
      </c>
      <c r="AI163" s="32"/>
      <c r="AJ163" s="32"/>
      <c r="AK163" s="53"/>
      <c r="AL163" s="21" t="str">
        <f>IFERROR(VLOOKUP(August[[#This Row],[Drug Name5]],'Data Options'!$R$1:$S$100,2,FALSE), " ")</f>
        <v xml:space="preserve"> </v>
      </c>
      <c r="AM163" s="32"/>
      <c r="AN163" s="32"/>
      <c r="AO163" s="53"/>
      <c r="AP163" s="21" t="str">
        <f>IFERROR(VLOOKUP(August[[#This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21" t="str">
        <f>IFERROR(VLOOKUP(August[[#This Row],[Drug Name7]],'Data Options'!$R$1:$S$100,2,FALSE), " ")</f>
        <v xml:space="preserve"> </v>
      </c>
      <c r="AZ163" s="32"/>
      <c r="BA163" s="32"/>
      <c r="BB163" s="53"/>
      <c r="BC163" s="21" t="str">
        <f>IFERROR(VLOOKUP(August[[#This Row],[Drug Name8]],'Data Options'!$R$1:$S$100,2,FALSE), " ")</f>
        <v xml:space="preserve"> </v>
      </c>
      <c r="BD163" s="32"/>
      <c r="BE163" s="32"/>
      <c r="BF163" s="53"/>
      <c r="BG163" s="21" t="str">
        <f>IFERROR(VLOOKUP(August[[#This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21" t="str">
        <f>IFERROR(VLOOKUP(August[[#This Row],[Drug Name]],'Data Options'!$R$1:$S$100,2,FALSE), " ")</f>
        <v xml:space="preserve"> </v>
      </c>
      <c r="R164" s="32"/>
      <c r="S164" s="32"/>
      <c r="T164" s="53"/>
      <c r="U164" s="21" t="str">
        <f>IFERROR(VLOOKUP(August[[#This Row],[Drug Name2]],'Data Options'!$R$1:$S$100,2,FALSE), " ")</f>
        <v xml:space="preserve"> </v>
      </c>
      <c r="V164" s="32"/>
      <c r="W164" s="32"/>
      <c r="X164" s="53"/>
      <c r="Y164" s="21" t="str">
        <f>IFERROR(VLOOKUP(August[[#This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21" t="str">
        <f>IFERROR(VLOOKUP(August[[#This Row],[Drug Name4]],'Data Options'!$R$1:$S$100,2,FALSE), " ")</f>
        <v xml:space="preserve"> </v>
      </c>
      <c r="AI164" s="32"/>
      <c r="AJ164" s="32"/>
      <c r="AK164" s="53"/>
      <c r="AL164" s="21" t="str">
        <f>IFERROR(VLOOKUP(August[[#This Row],[Drug Name5]],'Data Options'!$R$1:$S$100,2,FALSE), " ")</f>
        <v xml:space="preserve"> </v>
      </c>
      <c r="AM164" s="32"/>
      <c r="AN164" s="32"/>
      <c r="AO164" s="53"/>
      <c r="AP164" s="21" t="str">
        <f>IFERROR(VLOOKUP(August[[#This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21" t="str">
        <f>IFERROR(VLOOKUP(August[[#This Row],[Drug Name7]],'Data Options'!$R$1:$S$100,2,FALSE), " ")</f>
        <v xml:space="preserve"> </v>
      </c>
      <c r="AZ164" s="32"/>
      <c r="BA164" s="32"/>
      <c r="BB164" s="53"/>
      <c r="BC164" s="21" t="str">
        <f>IFERROR(VLOOKUP(August[[#This Row],[Drug Name8]],'Data Options'!$R$1:$S$100,2,FALSE), " ")</f>
        <v xml:space="preserve"> </v>
      </c>
      <c r="BD164" s="32"/>
      <c r="BE164" s="32"/>
      <c r="BF164" s="53"/>
      <c r="BG164" s="21" t="str">
        <f>IFERROR(VLOOKUP(August[[#This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21" t="str">
        <f>IFERROR(VLOOKUP(August[[#This Row],[Drug Name]],'Data Options'!$R$1:$S$100,2,FALSE), " ")</f>
        <v xml:space="preserve"> </v>
      </c>
      <c r="R165" s="32"/>
      <c r="S165" s="32"/>
      <c r="T165" s="53"/>
      <c r="U165" s="21" t="str">
        <f>IFERROR(VLOOKUP(August[[#This Row],[Drug Name2]],'Data Options'!$R$1:$S$100,2,FALSE), " ")</f>
        <v xml:space="preserve"> </v>
      </c>
      <c r="V165" s="32"/>
      <c r="W165" s="32"/>
      <c r="X165" s="53"/>
      <c r="Y165" s="21" t="str">
        <f>IFERROR(VLOOKUP(August[[#This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21" t="str">
        <f>IFERROR(VLOOKUP(August[[#This Row],[Drug Name4]],'Data Options'!$R$1:$S$100,2,FALSE), " ")</f>
        <v xml:space="preserve"> </v>
      </c>
      <c r="AI165" s="32"/>
      <c r="AJ165" s="32"/>
      <c r="AK165" s="53"/>
      <c r="AL165" s="21" t="str">
        <f>IFERROR(VLOOKUP(August[[#This Row],[Drug Name5]],'Data Options'!$R$1:$S$100,2,FALSE), " ")</f>
        <v xml:space="preserve"> </v>
      </c>
      <c r="AM165" s="32"/>
      <c r="AN165" s="32"/>
      <c r="AO165" s="53"/>
      <c r="AP165" s="21" t="str">
        <f>IFERROR(VLOOKUP(August[[#This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21" t="str">
        <f>IFERROR(VLOOKUP(August[[#This Row],[Drug Name7]],'Data Options'!$R$1:$S$100,2,FALSE), " ")</f>
        <v xml:space="preserve"> </v>
      </c>
      <c r="AZ165" s="32"/>
      <c r="BA165" s="32"/>
      <c r="BB165" s="53"/>
      <c r="BC165" s="21" t="str">
        <f>IFERROR(VLOOKUP(August[[#This Row],[Drug Name8]],'Data Options'!$R$1:$S$100,2,FALSE), " ")</f>
        <v xml:space="preserve"> </v>
      </c>
      <c r="BD165" s="32"/>
      <c r="BE165" s="32"/>
      <c r="BF165" s="53"/>
      <c r="BG165" s="21" t="str">
        <f>IFERROR(VLOOKUP(August[[#This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21" t="str">
        <f>IFERROR(VLOOKUP(August[[#This Row],[Drug Name]],'Data Options'!$R$1:$S$100,2,FALSE), " ")</f>
        <v xml:space="preserve"> </v>
      </c>
      <c r="R166" s="32"/>
      <c r="S166" s="32"/>
      <c r="T166" s="53"/>
      <c r="U166" s="21" t="str">
        <f>IFERROR(VLOOKUP(August[[#This Row],[Drug Name2]],'Data Options'!$R$1:$S$100,2,FALSE), " ")</f>
        <v xml:space="preserve"> </v>
      </c>
      <c r="V166" s="32"/>
      <c r="W166" s="32"/>
      <c r="X166" s="53"/>
      <c r="Y166" s="21" t="str">
        <f>IFERROR(VLOOKUP(August[[#This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21" t="str">
        <f>IFERROR(VLOOKUP(August[[#This Row],[Drug Name4]],'Data Options'!$R$1:$S$100,2,FALSE), " ")</f>
        <v xml:space="preserve"> </v>
      </c>
      <c r="AI166" s="32"/>
      <c r="AJ166" s="32"/>
      <c r="AK166" s="53"/>
      <c r="AL166" s="21" t="str">
        <f>IFERROR(VLOOKUP(August[[#This Row],[Drug Name5]],'Data Options'!$R$1:$S$100,2,FALSE), " ")</f>
        <v xml:space="preserve"> </v>
      </c>
      <c r="AM166" s="32"/>
      <c r="AN166" s="32"/>
      <c r="AO166" s="53"/>
      <c r="AP166" s="21" t="str">
        <f>IFERROR(VLOOKUP(August[[#This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21" t="str">
        <f>IFERROR(VLOOKUP(August[[#This Row],[Drug Name7]],'Data Options'!$R$1:$S$100,2,FALSE), " ")</f>
        <v xml:space="preserve"> </v>
      </c>
      <c r="AZ166" s="32"/>
      <c r="BA166" s="32"/>
      <c r="BB166" s="53"/>
      <c r="BC166" s="21" t="str">
        <f>IFERROR(VLOOKUP(August[[#This Row],[Drug Name8]],'Data Options'!$R$1:$S$100,2,FALSE), " ")</f>
        <v xml:space="preserve"> </v>
      </c>
      <c r="BD166" s="32"/>
      <c r="BE166" s="32"/>
      <c r="BF166" s="53"/>
      <c r="BG166" s="21" t="str">
        <f>IFERROR(VLOOKUP(August[[#This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21" t="str">
        <f>IFERROR(VLOOKUP(August[[#This Row],[Drug Name]],'Data Options'!$R$1:$S$100,2,FALSE), " ")</f>
        <v xml:space="preserve"> </v>
      </c>
      <c r="R167" s="32"/>
      <c r="S167" s="32"/>
      <c r="T167" s="53"/>
      <c r="U167" s="21" t="str">
        <f>IFERROR(VLOOKUP(August[[#This Row],[Drug Name2]],'Data Options'!$R$1:$S$100,2,FALSE), " ")</f>
        <v xml:space="preserve"> </v>
      </c>
      <c r="V167" s="32"/>
      <c r="W167" s="32"/>
      <c r="X167" s="53"/>
      <c r="Y167" s="21" t="str">
        <f>IFERROR(VLOOKUP(August[[#This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21" t="str">
        <f>IFERROR(VLOOKUP(August[[#This Row],[Drug Name4]],'Data Options'!$R$1:$S$100,2,FALSE), " ")</f>
        <v xml:space="preserve"> </v>
      </c>
      <c r="AI167" s="32"/>
      <c r="AJ167" s="32"/>
      <c r="AK167" s="53"/>
      <c r="AL167" s="21" t="str">
        <f>IFERROR(VLOOKUP(August[[#This Row],[Drug Name5]],'Data Options'!$R$1:$S$100,2,FALSE), " ")</f>
        <v xml:space="preserve"> </v>
      </c>
      <c r="AM167" s="32"/>
      <c r="AN167" s="32"/>
      <c r="AO167" s="53"/>
      <c r="AP167" s="21" t="str">
        <f>IFERROR(VLOOKUP(August[[#This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21" t="str">
        <f>IFERROR(VLOOKUP(August[[#This Row],[Drug Name7]],'Data Options'!$R$1:$S$100,2,FALSE), " ")</f>
        <v xml:space="preserve"> </v>
      </c>
      <c r="AZ167" s="32"/>
      <c r="BA167" s="32"/>
      <c r="BB167" s="53"/>
      <c r="BC167" s="21" t="str">
        <f>IFERROR(VLOOKUP(August[[#This Row],[Drug Name8]],'Data Options'!$R$1:$S$100,2,FALSE), " ")</f>
        <v xml:space="preserve"> </v>
      </c>
      <c r="BD167" s="32"/>
      <c r="BE167" s="32"/>
      <c r="BF167" s="53"/>
      <c r="BG167" s="21" t="str">
        <f>IFERROR(VLOOKUP(August[[#This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21" t="str">
        <f>IFERROR(VLOOKUP(August[[#This Row],[Drug Name]],'Data Options'!$R$1:$S$100,2,FALSE), " ")</f>
        <v xml:space="preserve"> </v>
      </c>
      <c r="R168" s="32"/>
      <c r="S168" s="32"/>
      <c r="T168" s="53"/>
      <c r="U168" s="21" t="str">
        <f>IFERROR(VLOOKUP(August[[#This Row],[Drug Name2]],'Data Options'!$R$1:$S$100,2,FALSE), " ")</f>
        <v xml:space="preserve"> </v>
      </c>
      <c r="V168" s="32"/>
      <c r="W168" s="32"/>
      <c r="X168" s="53"/>
      <c r="Y168" s="21" t="str">
        <f>IFERROR(VLOOKUP(August[[#This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21" t="str">
        <f>IFERROR(VLOOKUP(August[[#This Row],[Drug Name4]],'Data Options'!$R$1:$S$100,2,FALSE), " ")</f>
        <v xml:space="preserve"> </v>
      </c>
      <c r="AI168" s="32"/>
      <c r="AJ168" s="32"/>
      <c r="AK168" s="53"/>
      <c r="AL168" s="21" t="str">
        <f>IFERROR(VLOOKUP(August[[#This Row],[Drug Name5]],'Data Options'!$R$1:$S$100,2,FALSE), " ")</f>
        <v xml:space="preserve"> </v>
      </c>
      <c r="AM168" s="32"/>
      <c r="AN168" s="32"/>
      <c r="AO168" s="53"/>
      <c r="AP168" s="21" t="str">
        <f>IFERROR(VLOOKUP(August[[#This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21" t="str">
        <f>IFERROR(VLOOKUP(August[[#This Row],[Drug Name7]],'Data Options'!$R$1:$S$100,2,FALSE), " ")</f>
        <v xml:space="preserve"> </v>
      </c>
      <c r="AZ168" s="32"/>
      <c r="BA168" s="32"/>
      <c r="BB168" s="53"/>
      <c r="BC168" s="21" t="str">
        <f>IFERROR(VLOOKUP(August[[#This Row],[Drug Name8]],'Data Options'!$R$1:$S$100,2,FALSE), " ")</f>
        <v xml:space="preserve"> </v>
      </c>
      <c r="BD168" s="32"/>
      <c r="BE168" s="32"/>
      <c r="BF168" s="53"/>
      <c r="BG168" s="21" t="str">
        <f>IFERROR(VLOOKUP(August[[#This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21" t="str">
        <f>IFERROR(VLOOKUP(August[[#This Row],[Drug Name]],'Data Options'!$R$1:$S$100,2,FALSE), " ")</f>
        <v xml:space="preserve"> </v>
      </c>
      <c r="R169" s="32"/>
      <c r="S169" s="32"/>
      <c r="T169" s="53"/>
      <c r="U169" s="21" t="str">
        <f>IFERROR(VLOOKUP(August[[#This Row],[Drug Name2]],'Data Options'!$R$1:$S$100,2,FALSE), " ")</f>
        <v xml:space="preserve"> </v>
      </c>
      <c r="V169" s="32"/>
      <c r="W169" s="32"/>
      <c r="X169" s="53"/>
      <c r="Y169" s="21" t="str">
        <f>IFERROR(VLOOKUP(August[[#This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21" t="str">
        <f>IFERROR(VLOOKUP(August[[#This Row],[Drug Name4]],'Data Options'!$R$1:$S$100,2,FALSE), " ")</f>
        <v xml:space="preserve"> </v>
      </c>
      <c r="AI169" s="32"/>
      <c r="AJ169" s="32"/>
      <c r="AK169" s="53"/>
      <c r="AL169" s="21" t="str">
        <f>IFERROR(VLOOKUP(August[[#This Row],[Drug Name5]],'Data Options'!$R$1:$S$100,2,FALSE), " ")</f>
        <v xml:space="preserve"> </v>
      </c>
      <c r="AM169" s="32"/>
      <c r="AN169" s="32"/>
      <c r="AO169" s="53"/>
      <c r="AP169" s="21" t="str">
        <f>IFERROR(VLOOKUP(August[[#This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21" t="str">
        <f>IFERROR(VLOOKUP(August[[#This Row],[Drug Name7]],'Data Options'!$R$1:$S$100,2,FALSE), " ")</f>
        <v xml:space="preserve"> </v>
      </c>
      <c r="AZ169" s="32"/>
      <c r="BA169" s="32"/>
      <c r="BB169" s="53"/>
      <c r="BC169" s="21" t="str">
        <f>IFERROR(VLOOKUP(August[[#This Row],[Drug Name8]],'Data Options'!$R$1:$S$100,2,FALSE), " ")</f>
        <v xml:space="preserve"> </v>
      </c>
      <c r="BD169" s="32"/>
      <c r="BE169" s="32"/>
      <c r="BF169" s="53"/>
      <c r="BG169" s="21" t="str">
        <f>IFERROR(VLOOKUP(August[[#This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21" t="str">
        <f>IFERROR(VLOOKUP(August[[#This Row],[Drug Name]],'Data Options'!$R$1:$S$100,2,FALSE), " ")</f>
        <v xml:space="preserve"> </v>
      </c>
      <c r="R170" s="32"/>
      <c r="S170" s="32"/>
      <c r="T170" s="53"/>
      <c r="U170" s="21" t="str">
        <f>IFERROR(VLOOKUP(August[[#This Row],[Drug Name2]],'Data Options'!$R$1:$S$100,2,FALSE), " ")</f>
        <v xml:space="preserve"> </v>
      </c>
      <c r="V170" s="32"/>
      <c r="W170" s="32"/>
      <c r="X170" s="53"/>
      <c r="Y170" s="21" t="str">
        <f>IFERROR(VLOOKUP(August[[#This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21" t="str">
        <f>IFERROR(VLOOKUP(August[[#This Row],[Drug Name4]],'Data Options'!$R$1:$S$100,2,FALSE), " ")</f>
        <v xml:space="preserve"> </v>
      </c>
      <c r="AI170" s="32"/>
      <c r="AJ170" s="32"/>
      <c r="AK170" s="53"/>
      <c r="AL170" s="21" t="str">
        <f>IFERROR(VLOOKUP(August[[#This Row],[Drug Name5]],'Data Options'!$R$1:$S$100,2,FALSE), " ")</f>
        <v xml:space="preserve"> </v>
      </c>
      <c r="AM170" s="32"/>
      <c r="AN170" s="32"/>
      <c r="AO170" s="53"/>
      <c r="AP170" s="21" t="str">
        <f>IFERROR(VLOOKUP(August[[#This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21" t="str">
        <f>IFERROR(VLOOKUP(August[[#This Row],[Drug Name7]],'Data Options'!$R$1:$S$100,2,FALSE), " ")</f>
        <v xml:space="preserve"> </v>
      </c>
      <c r="AZ170" s="32"/>
      <c r="BA170" s="32"/>
      <c r="BB170" s="53"/>
      <c r="BC170" s="21" t="str">
        <f>IFERROR(VLOOKUP(August[[#This Row],[Drug Name8]],'Data Options'!$R$1:$S$100,2,FALSE), " ")</f>
        <v xml:space="preserve"> </v>
      </c>
      <c r="BD170" s="32"/>
      <c r="BE170" s="32"/>
      <c r="BF170" s="53"/>
      <c r="BG170" s="21" t="str">
        <f>IFERROR(VLOOKUP(August[[#This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21" t="str">
        <f>IFERROR(VLOOKUP(August[[#This Row],[Drug Name]],'Data Options'!$R$1:$S$100,2,FALSE), " ")</f>
        <v xml:space="preserve"> </v>
      </c>
      <c r="R171" s="32"/>
      <c r="S171" s="32"/>
      <c r="T171" s="53"/>
      <c r="U171" s="21" t="str">
        <f>IFERROR(VLOOKUP(August[[#This Row],[Drug Name2]],'Data Options'!$R$1:$S$100,2,FALSE), " ")</f>
        <v xml:space="preserve"> </v>
      </c>
      <c r="V171" s="32"/>
      <c r="W171" s="32"/>
      <c r="X171" s="53"/>
      <c r="Y171" s="21" t="str">
        <f>IFERROR(VLOOKUP(August[[#This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21" t="str">
        <f>IFERROR(VLOOKUP(August[[#This Row],[Drug Name4]],'Data Options'!$R$1:$S$100,2,FALSE), " ")</f>
        <v xml:space="preserve"> </v>
      </c>
      <c r="AI171" s="32"/>
      <c r="AJ171" s="32"/>
      <c r="AK171" s="53"/>
      <c r="AL171" s="21" t="str">
        <f>IFERROR(VLOOKUP(August[[#This Row],[Drug Name5]],'Data Options'!$R$1:$S$100,2,FALSE), " ")</f>
        <v xml:space="preserve"> </v>
      </c>
      <c r="AM171" s="32"/>
      <c r="AN171" s="32"/>
      <c r="AO171" s="53"/>
      <c r="AP171" s="21" t="str">
        <f>IFERROR(VLOOKUP(August[[#This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21" t="str">
        <f>IFERROR(VLOOKUP(August[[#This Row],[Drug Name7]],'Data Options'!$R$1:$S$100,2,FALSE), " ")</f>
        <v xml:space="preserve"> </v>
      </c>
      <c r="AZ171" s="32"/>
      <c r="BA171" s="32"/>
      <c r="BB171" s="53"/>
      <c r="BC171" s="21" t="str">
        <f>IFERROR(VLOOKUP(August[[#This Row],[Drug Name8]],'Data Options'!$R$1:$S$100,2,FALSE), " ")</f>
        <v xml:space="preserve"> </v>
      </c>
      <c r="BD171" s="32"/>
      <c r="BE171" s="32"/>
      <c r="BF171" s="53"/>
      <c r="BG171" s="21" t="str">
        <f>IFERROR(VLOOKUP(August[[#This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21" t="str">
        <f>IFERROR(VLOOKUP(August[[#This Row],[Drug Name]],'Data Options'!$R$1:$S$100,2,FALSE), " ")</f>
        <v xml:space="preserve"> </v>
      </c>
      <c r="R172" s="32"/>
      <c r="S172" s="32"/>
      <c r="T172" s="53"/>
      <c r="U172" s="21" t="str">
        <f>IFERROR(VLOOKUP(August[[#This Row],[Drug Name2]],'Data Options'!$R$1:$S$100,2,FALSE), " ")</f>
        <v xml:space="preserve"> </v>
      </c>
      <c r="V172" s="32"/>
      <c r="W172" s="32"/>
      <c r="X172" s="53"/>
      <c r="Y172" s="21" t="str">
        <f>IFERROR(VLOOKUP(August[[#This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21" t="str">
        <f>IFERROR(VLOOKUP(August[[#This Row],[Drug Name4]],'Data Options'!$R$1:$S$100,2,FALSE), " ")</f>
        <v xml:space="preserve"> </v>
      </c>
      <c r="AI172" s="32"/>
      <c r="AJ172" s="32"/>
      <c r="AK172" s="53"/>
      <c r="AL172" s="21" t="str">
        <f>IFERROR(VLOOKUP(August[[#This Row],[Drug Name5]],'Data Options'!$R$1:$S$100,2,FALSE), " ")</f>
        <v xml:space="preserve"> </v>
      </c>
      <c r="AM172" s="32"/>
      <c r="AN172" s="32"/>
      <c r="AO172" s="53"/>
      <c r="AP172" s="21" t="str">
        <f>IFERROR(VLOOKUP(August[[#This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21" t="str">
        <f>IFERROR(VLOOKUP(August[[#This Row],[Drug Name7]],'Data Options'!$R$1:$S$100,2,FALSE), " ")</f>
        <v xml:space="preserve"> </v>
      </c>
      <c r="AZ172" s="32"/>
      <c r="BA172" s="32"/>
      <c r="BB172" s="53"/>
      <c r="BC172" s="21" t="str">
        <f>IFERROR(VLOOKUP(August[[#This Row],[Drug Name8]],'Data Options'!$R$1:$S$100,2,FALSE), " ")</f>
        <v xml:space="preserve"> </v>
      </c>
      <c r="BD172" s="32"/>
      <c r="BE172" s="32"/>
      <c r="BF172" s="53"/>
      <c r="BG172" s="21" t="str">
        <f>IFERROR(VLOOKUP(August[[#This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21" t="str">
        <f>IFERROR(VLOOKUP(August[[#This Row],[Drug Name]],'Data Options'!$R$1:$S$100,2,FALSE), " ")</f>
        <v xml:space="preserve"> </v>
      </c>
      <c r="R173" s="32"/>
      <c r="S173" s="32"/>
      <c r="T173" s="53"/>
      <c r="U173" s="21" t="str">
        <f>IFERROR(VLOOKUP(August[[#This Row],[Drug Name2]],'Data Options'!$R$1:$S$100,2,FALSE), " ")</f>
        <v xml:space="preserve"> </v>
      </c>
      <c r="V173" s="32"/>
      <c r="W173" s="32"/>
      <c r="X173" s="53"/>
      <c r="Y173" s="21" t="str">
        <f>IFERROR(VLOOKUP(August[[#This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21" t="str">
        <f>IFERROR(VLOOKUP(August[[#This Row],[Drug Name4]],'Data Options'!$R$1:$S$100,2,FALSE), " ")</f>
        <v xml:space="preserve"> </v>
      </c>
      <c r="AI173" s="32"/>
      <c r="AJ173" s="32"/>
      <c r="AK173" s="53"/>
      <c r="AL173" s="21" t="str">
        <f>IFERROR(VLOOKUP(August[[#This Row],[Drug Name5]],'Data Options'!$R$1:$S$100,2,FALSE), " ")</f>
        <v xml:space="preserve"> </v>
      </c>
      <c r="AM173" s="32"/>
      <c r="AN173" s="32"/>
      <c r="AO173" s="53"/>
      <c r="AP173" s="21" t="str">
        <f>IFERROR(VLOOKUP(August[[#This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21" t="str">
        <f>IFERROR(VLOOKUP(August[[#This Row],[Drug Name7]],'Data Options'!$R$1:$S$100,2,FALSE), " ")</f>
        <v xml:space="preserve"> </v>
      </c>
      <c r="AZ173" s="32"/>
      <c r="BA173" s="32"/>
      <c r="BB173" s="53"/>
      <c r="BC173" s="21" t="str">
        <f>IFERROR(VLOOKUP(August[[#This Row],[Drug Name8]],'Data Options'!$R$1:$S$100,2,FALSE), " ")</f>
        <v xml:space="preserve"> </v>
      </c>
      <c r="BD173" s="32"/>
      <c r="BE173" s="32"/>
      <c r="BF173" s="53"/>
      <c r="BG173" s="21" t="str">
        <f>IFERROR(VLOOKUP(August[[#This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21" t="str">
        <f>IFERROR(VLOOKUP(August[[#This Row],[Drug Name]],'Data Options'!$R$1:$S$100,2,FALSE), " ")</f>
        <v xml:space="preserve"> </v>
      </c>
      <c r="R174" s="32"/>
      <c r="S174" s="32"/>
      <c r="T174" s="53"/>
      <c r="U174" s="21" t="str">
        <f>IFERROR(VLOOKUP(August[[#This Row],[Drug Name2]],'Data Options'!$R$1:$S$100,2,FALSE), " ")</f>
        <v xml:space="preserve"> </v>
      </c>
      <c r="V174" s="32"/>
      <c r="W174" s="32"/>
      <c r="X174" s="53"/>
      <c r="Y174" s="21" t="str">
        <f>IFERROR(VLOOKUP(August[[#This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21" t="str">
        <f>IFERROR(VLOOKUP(August[[#This Row],[Drug Name4]],'Data Options'!$R$1:$S$100,2,FALSE), " ")</f>
        <v xml:space="preserve"> </v>
      </c>
      <c r="AI174" s="32"/>
      <c r="AJ174" s="32"/>
      <c r="AK174" s="53"/>
      <c r="AL174" s="21" t="str">
        <f>IFERROR(VLOOKUP(August[[#This Row],[Drug Name5]],'Data Options'!$R$1:$S$100,2,FALSE), " ")</f>
        <v xml:space="preserve"> </v>
      </c>
      <c r="AM174" s="32"/>
      <c r="AN174" s="32"/>
      <c r="AO174" s="53"/>
      <c r="AP174" s="21" t="str">
        <f>IFERROR(VLOOKUP(August[[#This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21" t="str">
        <f>IFERROR(VLOOKUP(August[[#This Row],[Drug Name7]],'Data Options'!$R$1:$S$100,2,FALSE), " ")</f>
        <v xml:space="preserve"> </v>
      </c>
      <c r="AZ174" s="32"/>
      <c r="BA174" s="32"/>
      <c r="BB174" s="53"/>
      <c r="BC174" s="21" t="str">
        <f>IFERROR(VLOOKUP(August[[#This Row],[Drug Name8]],'Data Options'!$R$1:$S$100,2,FALSE), " ")</f>
        <v xml:space="preserve"> </v>
      </c>
      <c r="BD174" s="32"/>
      <c r="BE174" s="32"/>
      <c r="BF174" s="53"/>
      <c r="BG174" s="21" t="str">
        <f>IFERROR(VLOOKUP(August[[#This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21" t="str">
        <f>IFERROR(VLOOKUP(August[[#This Row],[Drug Name]],'Data Options'!$R$1:$S$100,2,FALSE), " ")</f>
        <v xml:space="preserve"> </v>
      </c>
      <c r="R175" s="32"/>
      <c r="S175" s="32"/>
      <c r="T175" s="53"/>
      <c r="U175" s="21" t="str">
        <f>IFERROR(VLOOKUP(August[[#This Row],[Drug Name2]],'Data Options'!$R$1:$S$100,2,FALSE), " ")</f>
        <v xml:space="preserve"> </v>
      </c>
      <c r="V175" s="32"/>
      <c r="W175" s="32"/>
      <c r="X175" s="53"/>
      <c r="Y175" s="21" t="str">
        <f>IFERROR(VLOOKUP(August[[#This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21" t="str">
        <f>IFERROR(VLOOKUP(August[[#This Row],[Drug Name4]],'Data Options'!$R$1:$S$100,2,FALSE), " ")</f>
        <v xml:space="preserve"> </v>
      </c>
      <c r="AI175" s="32"/>
      <c r="AJ175" s="32"/>
      <c r="AK175" s="53"/>
      <c r="AL175" s="21" t="str">
        <f>IFERROR(VLOOKUP(August[[#This Row],[Drug Name5]],'Data Options'!$R$1:$S$100,2,FALSE), " ")</f>
        <v xml:space="preserve"> </v>
      </c>
      <c r="AM175" s="32"/>
      <c r="AN175" s="32"/>
      <c r="AO175" s="53"/>
      <c r="AP175" s="21" t="str">
        <f>IFERROR(VLOOKUP(August[[#This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21" t="str">
        <f>IFERROR(VLOOKUP(August[[#This Row],[Drug Name7]],'Data Options'!$R$1:$S$100,2,FALSE), " ")</f>
        <v xml:space="preserve"> </v>
      </c>
      <c r="AZ175" s="32"/>
      <c r="BA175" s="32"/>
      <c r="BB175" s="53"/>
      <c r="BC175" s="21" t="str">
        <f>IFERROR(VLOOKUP(August[[#This Row],[Drug Name8]],'Data Options'!$R$1:$S$100,2,FALSE), " ")</f>
        <v xml:space="preserve"> </v>
      </c>
      <c r="BD175" s="32"/>
      <c r="BE175" s="32"/>
      <c r="BF175" s="53"/>
      <c r="BG175" s="21" t="str">
        <f>IFERROR(VLOOKUP(August[[#This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21" t="str">
        <f>IFERROR(VLOOKUP(August[[#This Row],[Drug Name]],'Data Options'!$R$1:$S$100,2,FALSE), " ")</f>
        <v xml:space="preserve"> </v>
      </c>
      <c r="R176" s="32"/>
      <c r="S176" s="32"/>
      <c r="T176" s="53"/>
      <c r="U176" s="21" t="str">
        <f>IFERROR(VLOOKUP(August[[#This Row],[Drug Name2]],'Data Options'!$R$1:$S$100,2,FALSE), " ")</f>
        <v xml:space="preserve"> </v>
      </c>
      <c r="V176" s="32"/>
      <c r="W176" s="32"/>
      <c r="X176" s="53"/>
      <c r="Y176" s="21" t="str">
        <f>IFERROR(VLOOKUP(August[[#This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21" t="str">
        <f>IFERROR(VLOOKUP(August[[#This Row],[Drug Name4]],'Data Options'!$R$1:$S$100,2,FALSE), " ")</f>
        <v xml:space="preserve"> </v>
      </c>
      <c r="AI176" s="32"/>
      <c r="AJ176" s="32"/>
      <c r="AK176" s="53"/>
      <c r="AL176" s="21" t="str">
        <f>IFERROR(VLOOKUP(August[[#This Row],[Drug Name5]],'Data Options'!$R$1:$S$100,2,FALSE), " ")</f>
        <v xml:space="preserve"> </v>
      </c>
      <c r="AM176" s="32"/>
      <c r="AN176" s="32"/>
      <c r="AO176" s="53"/>
      <c r="AP176" s="21" t="str">
        <f>IFERROR(VLOOKUP(August[[#This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21" t="str">
        <f>IFERROR(VLOOKUP(August[[#This Row],[Drug Name7]],'Data Options'!$R$1:$S$100,2,FALSE), " ")</f>
        <v xml:space="preserve"> </v>
      </c>
      <c r="AZ176" s="32"/>
      <c r="BA176" s="32"/>
      <c r="BB176" s="53"/>
      <c r="BC176" s="21" t="str">
        <f>IFERROR(VLOOKUP(August[[#This Row],[Drug Name8]],'Data Options'!$R$1:$S$100,2,FALSE), " ")</f>
        <v xml:space="preserve"> </v>
      </c>
      <c r="BD176" s="32"/>
      <c r="BE176" s="32"/>
      <c r="BF176" s="53"/>
      <c r="BG176" s="21" t="str">
        <f>IFERROR(VLOOKUP(August[[#This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21" t="str">
        <f>IFERROR(VLOOKUP(August[[#This Row],[Drug Name]],'Data Options'!$R$1:$S$100,2,FALSE), " ")</f>
        <v xml:space="preserve"> </v>
      </c>
      <c r="R177" s="32"/>
      <c r="S177" s="32"/>
      <c r="T177" s="53"/>
      <c r="U177" s="21" t="str">
        <f>IFERROR(VLOOKUP(August[[#This Row],[Drug Name2]],'Data Options'!$R$1:$S$100,2,FALSE), " ")</f>
        <v xml:space="preserve"> </v>
      </c>
      <c r="V177" s="32"/>
      <c r="W177" s="32"/>
      <c r="X177" s="53"/>
      <c r="Y177" s="21" t="str">
        <f>IFERROR(VLOOKUP(August[[#This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21" t="str">
        <f>IFERROR(VLOOKUP(August[[#This Row],[Drug Name4]],'Data Options'!$R$1:$S$100,2,FALSE), " ")</f>
        <v xml:space="preserve"> </v>
      </c>
      <c r="AI177" s="32"/>
      <c r="AJ177" s="32"/>
      <c r="AK177" s="53"/>
      <c r="AL177" s="21" t="str">
        <f>IFERROR(VLOOKUP(August[[#This Row],[Drug Name5]],'Data Options'!$R$1:$S$100,2,FALSE), " ")</f>
        <v xml:space="preserve"> </v>
      </c>
      <c r="AM177" s="32"/>
      <c r="AN177" s="32"/>
      <c r="AO177" s="53"/>
      <c r="AP177" s="21" t="str">
        <f>IFERROR(VLOOKUP(August[[#This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21" t="str">
        <f>IFERROR(VLOOKUP(August[[#This Row],[Drug Name7]],'Data Options'!$R$1:$S$100,2,FALSE), " ")</f>
        <v xml:space="preserve"> </v>
      </c>
      <c r="AZ177" s="32"/>
      <c r="BA177" s="32"/>
      <c r="BB177" s="53"/>
      <c r="BC177" s="21" t="str">
        <f>IFERROR(VLOOKUP(August[[#This Row],[Drug Name8]],'Data Options'!$R$1:$S$100,2,FALSE), " ")</f>
        <v xml:space="preserve"> </v>
      </c>
      <c r="BD177" s="32"/>
      <c r="BE177" s="32"/>
      <c r="BF177" s="53"/>
      <c r="BG177" s="21" t="str">
        <f>IFERROR(VLOOKUP(August[[#This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21" t="str">
        <f>IFERROR(VLOOKUP(August[[#This Row],[Drug Name]],'Data Options'!$R$1:$S$100,2,FALSE), " ")</f>
        <v xml:space="preserve"> </v>
      </c>
      <c r="R178" s="32"/>
      <c r="S178" s="32"/>
      <c r="T178" s="53"/>
      <c r="U178" s="21" t="str">
        <f>IFERROR(VLOOKUP(August[[#This Row],[Drug Name2]],'Data Options'!$R$1:$S$100,2,FALSE), " ")</f>
        <v xml:space="preserve"> </v>
      </c>
      <c r="V178" s="32"/>
      <c r="W178" s="32"/>
      <c r="X178" s="53"/>
      <c r="Y178" s="21" t="str">
        <f>IFERROR(VLOOKUP(August[[#This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21" t="str">
        <f>IFERROR(VLOOKUP(August[[#This Row],[Drug Name4]],'Data Options'!$R$1:$S$100,2,FALSE), " ")</f>
        <v xml:space="preserve"> </v>
      </c>
      <c r="AI178" s="32"/>
      <c r="AJ178" s="32"/>
      <c r="AK178" s="53"/>
      <c r="AL178" s="21" t="str">
        <f>IFERROR(VLOOKUP(August[[#This Row],[Drug Name5]],'Data Options'!$R$1:$S$100,2,FALSE), " ")</f>
        <v xml:space="preserve"> </v>
      </c>
      <c r="AM178" s="32"/>
      <c r="AN178" s="32"/>
      <c r="AO178" s="53"/>
      <c r="AP178" s="21" t="str">
        <f>IFERROR(VLOOKUP(August[[#This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21" t="str">
        <f>IFERROR(VLOOKUP(August[[#This Row],[Drug Name7]],'Data Options'!$R$1:$S$100,2,FALSE), " ")</f>
        <v xml:space="preserve"> </v>
      </c>
      <c r="AZ178" s="32"/>
      <c r="BA178" s="32"/>
      <c r="BB178" s="53"/>
      <c r="BC178" s="21" t="str">
        <f>IFERROR(VLOOKUP(August[[#This Row],[Drug Name8]],'Data Options'!$R$1:$S$100,2,FALSE), " ")</f>
        <v xml:space="preserve"> </v>
      </c>
      <c r="BD178" s="32"/>
      <c r="BE178" s="32"/>
      <c r="BF178" s="53"/>
      <c r="BG178" s="21" t="str">
        <f>IFERROR(VLOOKUP(August[[#This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21" t="str">
        <f>IFERROR(VLOOKUP(August[[#This Row],[Drug Name]],'Data Options'!$R$1:$S$100,2,FALSE), " ")</f>
        <v xml:space="preserve"> </v>
      </c>
      <c r="R179" s="32"/>
      <c r="S179" s="32"/>
      <c r="T179" s="53"/>
      <c r="U179" s="21" t="str">
        <f>IFERROR(VLOOKUP(August[[#This Row],[Drug Name2]],'Data Options'!$R$1:$S$100,2,FALSE), " ")</f>
        <v xml:space="preserve"> </v>
      </c>
      <c r="V179" s="32"/>
      <c r="W179" s="32"/>
      <c r="X179" s="53"/>
      <c r="Y179" s="21" t="str">
        <f>IFERROR(VLOOKUP(August[[#This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21" t="str">
        <f>IFERROR(VLOOKUP(August[[#This Row],[Drug Name4]],'Data Options'!$R$1:$S$100,2,FALSE), " ")</f>
        <v xml:space="preserve"> </v>
      </c>
      <c r="AI179" s="32"/>
      <c r="AJ179" s="32"/>
      <c r="AK179" s="53"/>
      <c r="AL179" s="21" t="str">
        <f>IFERROR(VLOOKUP(August[[#This Row],[Drug Name5]],'Data Options'!$R$1:$S$100,2,FALSE), " ")</f>
        <v xml:space="preserve"> </v>
      </c>
      <c r="AM179" s="32"/>
      <c r="AN179" s="32"/>
      <c r="AO179" s="53"/>
      <c r="AP179" s="21" t="str">
        <f>IFERROR(VLOOKUP(August[[#This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21" t="str">
        <f>IFERROR(VLOOKUP(August[[#This Row],[Drug Name7]],'Data Options'!$R$1:$S$100,2,FALSE), " ")</f>
        <v xml:space="preserve"> </v>
      </c>
      <c r="AZ179" s="32"/>
      <c r="BA179" s="32"/>
      <c r="BB179" s="53"/>
      <c r="BC179" s="21" t="str">
        <f>IFERROR(VLOOKUP(August[[#This Row],[Drug Name8]],'Data Options'!$R$1:$S$100,2,FALSE), " ")</f>
        <v xml:space="preserve"> </v>
      </c>
      <c r="BD179" s="32"/>
      <c r="BE179" s="32"/>
      <c r="BF179" s="53"/>
      <c r="BG179" s="21" t="str">
        <f>IFERROR(VLOOKUP(August[[#This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21" t="str">
        <f>IFERROR(VLOOKUP(August[[#This Row],[Drug Name]],'Data Options'!$R$1:$S$100,2,FALSE), " ")</f>
        <v xml:space="preserve"> </v>
      </c>
      <c r="R180" s="32"/>
      <c r="S180" s="32"/>
      <c r="T180" s="53"/>
      <c r="U180" s="21" t="str">
        <f>IFERROR(VLOOKUP(August[[#This Row],[Drug Name2]],'Data Options'!$R$1:$S$100,2,FALSE), " ")</f>
        <v xml:space="preserve"> </v>
      </c>
      <c r="V180" s="32"/>
      <c r="W180" s="32"/>
      <c r="X180" s="53"/>
      <c r="Y180" s="21" t="str">
        <f>IFERROR(VLOOKUP(August[[#This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21" t="str">
        <f>IFERROR(VLOOKUP(August[[#This Row],[Drug Name4]],'Data Options'!$R$1:$S$100,2,FALSE), " ")</f>
        <v xml:space="preserve"> </v>
      </c>
      <c r="AI180" s="32"/>
      <c r="AJ180" s="32"/>
      <c r="AK180" s="53"/>
      <c r="AL180" s="21" t="str">
        <f>IFERROR(VLOOKUP(August[[#This Row],[Drug Name5]],'Data Options'!$R$1:$S$100,2,FALSE), " ")</f>
        <v xml:space="preserve"> </v>
      </c>
      <c r="AM180" s="32"/>
      <c r="AN180" s="32"/>
      <c r="AO180" s="53"/>
      <c r="AP180" s="21" t="str">
        <f>IFERROR(VLOOKUP(August[[#This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21" t="str">
        <f>IFERROR(VLOOKUP(August[[#This Row],[Drug Name7]],'Data Options'!$R$1:$S$100,2,FALSE), " ")</f>
        <v xml:space="preserve"> </v>
      </c>
      <c r="AZ180" s="32"/>
      <c r="BA180" s="32"/>
      <c r="BB180" s="53"/>
      <c r="BC180" s="21" t="str">
        <f>IFERROR(VLOOKUP(August[[#This Row],[Drug Name8]],'Data Options'!$R$1:$S$100,2,FALSE), " ")</f>
        <v xml:space="preserve"> </v>
      </c>
      <c r="BD180" s="32"/>
      <c r="BE180" s="32"/>
      <c r="BF180" s="53"/>
      <c r="BG180" s="21" t="str">
        <f>IFERROR(VLOOKUP(August[[#This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21" t="str">
        <f>IFERROR(VLOOKUP(August[[#This Row],[Drug Name]],'Data Options'!$R$1:$S$100,2,FALSE), " ")</f>
        <v xml:space="preserve"> </v>
      </c>
      <c r="R181" s="32"/>
      <c r="S181" s="32"/>
      <c r="T181" s="53"/>
      <c r="U181" s="21" t="str">
        <f>IFERROR(VLOOKUP(August[[#This Row],[Drug Name2]],'Data Options'!$R$1:$S$100,2,FALSE), " ")</f>
        <v xml:space="preserve"> </v>
      </c>
      <c r="V181" s="32"/>
      <c r="W181" s="32"/>
      <c r="X181" s="53"/>
      <c r="Y181" s="21" t="str">
        <f>IFERROR(VLOOKUP(August[[#This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21" t="str">
        <f>IFERROR(VLOOKUP(August[[#This Row],[Drug Name4]],'Data Options'!$R$1:$S$100,2,FALSE), " ")</f>
        <v xml:space="preserve"> </v>
      </c>
      <c r="AI181" s="32"/>
      <c r="AJ181" s="32"/>
      <c r="AK181" s="53"/>
      <c r="AL181" s="21" t="str">
        <f>IFERROR(VLOOKUP(August[[#This Row],[Drug Name5]],'Data Options'!$R$1:$S$100,2,FALSE), " ")</f>
        <v xml:space="preserve"> </v>
      </c>
      <c r="AM181" s="32"/>
      <c r="AN181" s="32"/>
      <c r="AO181" s="53"/>
      <c r="AP181" s="21" t="str">
        <f>IFERROR(VLOOKUP(August[[#This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21" t="str">
        <f>IFERROR(VLOOKUP(August[[#This Row],[Drug Name7]],'Data Options'!$R$1:$S$100,2,FALSE), " ")</f>
        <v xml:space="preserve"> </v>
      </c>
      <c r="AZ181" s="32"/>
      <c r="BA181" s="32"/>
      <c r="BB181" s="53"/>
      <c r="BC181" s="21" t="str">
        <f>IFERROR(VLOOKUP(August[[#This Row],[Drug Name8]],'Data Options'!$R$1:$S$100,2,FALSE), " ")</f>
        <v xml:space="preserve"> </v>
      </c>
      <c r="BD181" s="32"/>
      <c r="BE181" s="32"/>
      <c r="BF181" s="53"/>
      <c r="BG181" s="21" t="str">
        <f>IFERROR(VLOOKUP(August[[#This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21" t="str">
        <f>IFERROR(VLOOKUP(August[[#This Row],[Drug Name]],'Data Options'!$R$1:$S$100,2,FALSE), " ")</f>
        <v xml:space="preserve"> </v>
      </c>
      <c r="R182" s="32"/>
      <c r="S182" s="32"/>
      <c r="T182" s="53"/>
      <c r="U182" s="21" t="str">
        <f>IFERROR(VLOOKUP(August[[#This Row],[Drug Name2]],'Data Options'!$R$1:$S$100,2,FALSE), " ")</f>
        <v xml:space="preserve"> </v>
      </c>
      <c r="V182" s="32"/>
      <c r="W182" s="32"/>
      <c r="X182" s="53"/>
      <c r="Y182" s="21" t="str">
        <f>IFERROR(VLOOKUP(August[[#This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21" t="str">
        <f>IFERROR(VLOOKUP(August[[#This Row],[Drug Name4]],'Data Options'!$R$1:$S$100,2,FALSE), " ")</f>
        <v xml:space="preserve"> </v>
      </c>
      <c r="AI182" s="32"/>
      <c r="AJ182" s="32"/>
      <c r="AK182" s="53"/>
      <c r="AL182" s="21" t="str">
        <f>IFERROR(VLOOKUP(August[[#This Row],[Drug Name5]],'Data Options'!$R$1:$S$100,2,FALSE), " ")</f>
        <v xml:space="preserve"> </v>
      </c>
      <c r="AM182" s="32"/>
      <c r="AN182" s="32"/>
      <c r="AO182" s="53"/>
      <c r="AP182" s="21" t="str">
        <f>IFERROR(VLOOKUP(August[[#This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21" t="str">
        <f>IFERROR(VLOOKUP(August[[#This Row],[Drug Name7]],'Data Options'!$R$1:$S$100,2,FALSE), " ")</f>
        <v xml:space="preserve"> </v>
      </c>
      <c r="AZ182" s="32"/>
      <c r="BA182" s="32"/>
      <c r="BB182" s="53"/>
      <c r="BC182" s="21" t="str">
        <f>IFERROR(VLOOKUP(August[[#This Row],[Drug Name8]],'Data Options'!$R$1:$S$100,2,FALSE), " ")</f>
        <v xml:space="preserve"> </v>
      </c>
      <c r="BD182" s="32"/>
      <c r="BE182" s="32"/>
      <c r="BF182" s="53"/>
      <c r="BG182" s="21" t="str">
        <f>IFERROR(VLOOKUP(August[[#This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21" t="str">
        <f>IFERROR(VLOOKUP(August[[#This Row],[Drug Name]],'Data Options'!$R$1:$S$100,2,FALSE), " ")</f>
        <v xml:space="preserve"> </v>
      </c>
      <c r="R183" s="32"/>
      <c r="S183" s="32"/>
      <c r="T183" s="53"/>
      <c r="U183" s="21" t="str">
        <f>IFERROR(VLOOKUP(August[[#This Row],[Drug Name2]],'Data Options'!$R$1:$S$100,2,FALSE), " ")</f>
        <v xml:space="preserve"> </v>
      </c>
      <c r="V183" s="32"/>
      <c r="W183" s="32"/>
      <c r="X183" s="53"/>
      <c r="Y183" s="21" t="str">
        <f>IFERROR(VLOOKUP(August[[#This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21" t="str">
        <f>IFERROR(VLOOKUP(August[[#This Row],[Drug Name4]],'Data Options'!$R$1:$S$100,2,FALSE), " ")</f>
        <v xml:space="preserve"> </v>
      </c>
      <c r="AI183" s="32"/>
      <c r="AJ183" s="32"/>
      <c r="AK183" s="53"/>
      <c r="AL183" s="21" t="str">
        <f>IFERROR(VLOOKUP(August[[#This Row],[Drug Name5]],'Data Options'!$R$1:$S$100,2,FALSE), " ")</f>
        <v xml:space="preserve"> </v>
      </c>
      <c r="AM183" s="32"/>
      <c r="AN183" s="32"/>
      <c r="AO183" s="53"/>
      <c r="AP183" s="21" t="str">
        <f>IFERROR(VLOOKUP(August[[#This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21" t="str">
        <f>IFERROR(VLOOKUP(August[[#This Row],[Drug Name7]],'Data Options'!$R$1:$S$100,2,FALSE), " ")</f>
        <v xml:space="preserve"> </v>
      </c>
      <c r="AZ183" s="32"/>
      <c r="BA183" s="32"/>
      <c r="BB183" s="53"/>
      <c r="BC183" s="21" t="str">
        <f>IFERROR(VLOOKUP(August[[#This Row],[Drug Name8]],'Data Options'!$R$1:$S$100,2,FALSE), " ")</f>
        <v xml:space="preserve"> </v>
      </c>
      <c r="BD183" s="32"/>
      <c r="BE183" s="32"/>
      <c r="BF183" s="53"/>
      <c r="BG183" s="21" t="str">
        <f>IFERROR(VLOOKUP(August[[#This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21" t="str">
        <f>IFERROR(VLOOKUP(August[[#This Row],[Drug Name]],'Data Options'!$R$1:$S$100,2,FALSE), " ")</f>
        <v xml:space="preserve"> </v>
      </c>
      <c r="R184" s="32"/>
      <c r="S184" s="32"/>
      <c r="T184" s="53"/>
      <c r="U184" s="21" t="str">
        <f>IFERROR(VLOOKUP(August[[#This Row],[Drug Name2]],'Data Options'!$R$1:$S$100,2,FALSE), " ")</f>
        <v xml:space="preserve"> </v>
      </c>
      <c r="V184" s="32"/>
      <c r="W184" s="32"/>
      <c r="X184" s="53"/>
      <c r="Y184" s="21" t="str">
        <f>IFERROR(VLOOKUP(August[[#This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21" t="str">
        <f>IFERROR(VLOOKUP(August[[#This Row],[Drug Name4]],'Data Options'!$R$1:$S$100,2,FALSE), " ")</f>
        <v xml:space="preserve"> </v>
      </c>
      <c r="AI184" s="32"/>
      <c r="AJ184" s="32"/>
      <c r="AK184" s="53"/>
      <c r="AL184" s="21" t="str">
        <f>IFERROR(VLOOKUP(August[[#This Row],[Drug Name5]],'Data Options'!$R$1:$S$100,2,FALSE), " ")</f>
        <v xml:space="preserve"> </v>
      </c>
      <c r="AM184" s="32"/>
      <c r="AN184" s="32"/>
      <c r="AO184" s="53"/>
      <c r="AP184" s="21" t="str">
        <f>IFERROR(VLOOKUP(August[[#This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21" t="str">
        <f>IFERROR(VLOOKUP(August[[#This Row],[Drug Name7]],'Data Options'!$R$1:$S$100,2,FALSE), " ")</f>
        <v xml:space="preserve"> </v>
      </c>
      <c r="AZ184" s="32"/>
      <c r="BA184" s="32"/>
      <c r="BB184" s="53"/>
      <c r="BC184" s="21" t="str">
        <f>IFERROR(VLOOKUP(August[[#This Row],[Drug Name8]],'Data Options'!$R$1:$S$100,2,FALSE), " ")</f>
        <v xml:space="preserve"> </v>
      </c>
      <c r="BD184" s="32"/>
      <c r="BE184" s="32"/>
      <c r="BF184" s="53"/>
      <c r="BG184" s="21" t="str">
        <f>IFERROR(VLOOKUP(August[[#This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21" t="str">
        <f>IFERROR(VLOOKUP(August[[#This Row],[Drug Name]],'Data Options'!$R$1:$S$100,2,FALSE), " ")</f>
        <v xml:space="preserve"> </v>
      </c>
      <c r="R185" s="32"/>
      <c r="S185" s="32"/>
      <c r="T185" s="53"/>
      <c r="U185" s="21" t="str">
        <f>IFERROR(VLOOKUP(August[[#This Row],[Drug Name2]],'Data Options'!$R$1:$S$100,2,FALSE), " ")</f>
        <v xml:space="preserve"> </v>
      </c>
      <c r="V185" s="32"/>
      <c r="W185" s="32"/>
      <c r="X185" s="53"/>
      <c r="Y185" s="21" t="str">
        <f>IFERROR(VLOOKUP(August[[#This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21" t="str">
        <f>IFERROR(VLOOKUP(August[[#This Row],[Drug Name4]],'Data Options'!$R$1:$S$100,2,FALSE), " ")</f>
        <v xml:space="preserve"> </v>
      </c>
      <c r="AI185" s="32"/>
      <c r="AJ185" s="32"/>
      <c r="AK185" s="53"/>
      <c r="AL185" s="21" t="str">
        <f>IFERROR(VLOOKUP(August[[#This Row],[Drug Name5]],'Data Options'!$R$1:$S$100,2,FALSE), " ")</f>
        <v xml:space="preserve"> </v>
      </c>
      <c r="AM185" s="32"/>
      <c r="AN185" s="32"/>
      <c r="AO185" s="53"/>
      <c r="AP185" s="21" t="str">
        <f>IFERROR(VLOOKUP(August[[#This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21" t="str">
        <f>IFERROR(VLOOKUP(August[[#This Row],[Drug Name7]],'Data Options'!$R$1:$S$100,2,FALSE), " ")</f>
        <v xml:space="preserve"> </v>
      </c>
      <c r="AZ185" s="32"/>
      <c r="BA185" s="32"/>
      <c r="BB185" s="53"/>
      <c r="BC185" s="21" t="str">
        <f>IFERROR(VLOOKUP(August[[#This Row],[Drug Name8]],'Data Options'!$R$1:$S$100,2,FALSE), " ")</f>
        <v xml:space="preserve"> </v>
      </c>
      <c r="BD185" s="32"/>
      <c r="BE185" s="32"/>
      <c r="BF185" s="53"/>
      <c r="BG185" s="21" t="str">
        <f>IFERROR(VLOOKUP(August[[#This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21" t="str">
        <f>IFERROR(VLOOKUP(August[[#This Row],[Drug Name]],'Data Options'!$R$1:$S$100,2,FALSE), " ")</f>
        <v xml:space="preserve"> </v>
      </c>
      <c r="R186" s="32"/>
      <c r="S186" s="32"/>
      <c r="T186" s="53"/>
      <c r="U186" s="21" t="str">
        <f>IFERROR(VLOOKUP(August[[#This Row],[Drug Name2]],'Data Options'!$R$1:$S$100,2,FALSE), " ")</f>
        <v xml:space="preserve"> </v>
      </c>
      <c r="V186" s="32"/>
      <c r="W186" s="32"/>
      <c r="X186" s="53"/>
      <c r="Y186" s="21" t="str">
        <f>IFERROR(VLOOKUP(August[[#This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21" t="str">
        <f>IFERROR(VLOOKUP(August[[#This Row],[Drug Name4]],'Data Options'!$R$1:$S$100,2,FALSE), " ")</f>
        <v xml:space="preserve"> </v>
      </c>
      <c r="AI186" s="32"/>
      <c r="AJ186" s="32"/>
      <c r="AK186" s="53"/>
      <c r="AL186" s="21" t="str">
        <f>IFERROR(VLOOKUP(August[[#This Row],[Drug Name5]],'Data Options'!$R$1:$S$100,2,FALSE), " ")</f>
        <v xml:space="preserve"> </v>
      </c>
      <c r="AM186" s="32"/>
      <c r="AN186" s="32"/>
      <c r="AO186" s="53"/>
      <c r="AP186" s="21" t="str">
        <f>IFERROR(VLOOKUP(August[[#This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21" t="str">
        <f>IFERROR(VLOOKUP(August[[#This Row],[Drug Name7]],'Data Options'!$R$1:$S$100,2,FALSE), " ")</f>
        <v xml:space="preserve"> </v>
      </c>
      <c r="AZ186" s="32"/>
      <c r="BA186" s="32"/>
      <c r="BB186" s="53"/>
      <c r="BC186" s="21" t="str">
        <f>IFERROR(VLOOKUP(August[[#This Row],[Drug Name8]],'Data Options'!$R$1:$S$100,2,FALSE), " ")</f>
        <v xml:space="preserve"> </v>
      </c>
      <c r="BD186" s="32"/>
      <c r="BE186" s="32"/>
      <c r="BF186" s="53"/>
      <c r="BG186" s="21" t="str">
        <f>IFERROR(VLOOKUP(August[[#This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21" t="str">
        <f>IFERROR(VLOOKUP(August[[#This Row],[Drug Name]],'Data Options'!$R$1:$S$100,2,FALSE), " ")</f>
        <v xml:space="preserve"> </v>
      </c>
      <c r="R187" s="32"/>
      <c r="S187" s="32"/>
      <c r="T187" s="53"/>
      <c r="U187" s="21" t="str">
        <f>IFERROR(VLOOKUP(August[[#This Row],[Drug Name2]],'Data Options'!$R$1:$S$100,2,FALSE), " ")</f>
        <v xml:space="preserve"> </v>
      </c>
      <c r="V187" s="32"/>
      <c r="W187" s="32"/>
      <c r="X187" s="53"/>
      <c r="Y187" s="21" t="str">
        <f>IFERROR(VLOOKUP(August[[#This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21" t="str">
        <f>IFERROR(VLOOKUP(August[[#This Row],[Drug Name4]],'Data Options'!$R$1:$S$100,2,FALSE), " ")</f>
        <v xml:space="preserve"> </v>
      </c>
      <c r="AI187" s="32"/>
      <c r="AJ187" s="32"/>
      <c r="AK187" s="53"/>
      <c r="AL187" s="21" t="str">
        <f>IFERROR(VLOOKUP(August[[#This Row],[Drug Name5]],'Data Options'!$R$1:$S$100,2,FALSE), " ")</f>
        <v xml:space="preserve"> </v>
      </c>
      <c r="AM187" s="32"/>
      <c r="AN187" s="32"/>
      <c r="AO187" s="53"/>
      <c r="AP187" s="21" t="str">
        <f>IFERROR(VLOOKUP(August[[#This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21" t="str">
        <f>IFERROR(VLOOKUP(August[[#This Row],[Drug Name7]],'Data Options'!$R$1:$S$100,2,FALSE), " ")</f>
        <v xml:space="preserve"> </v>
      </c>
      <c r="AZ187" s="32"/>
      <c r="BA187" s="32"/>
      <c r="BB187" s="53"/>
      <c r="BC187" s="21" t="str">
        <f>IFERROR(VLOOKUP(August[[#This Row],[Drug Name8]],'Data Options'!$R$1:$S$100,2,FALSE), " ")</f>
        <v xml:space="preserve"> </v>
      </c>
      <c r="BD187" s="32"/>
      <c r="BE187" s="32"/>
      <c r="BF187" s="53"/>
      <c r="BG187" s="21" t="str">
        <f>IFERROR(VLOOKUP(August[[#This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21" t="str">
        <f>IFERROR(VLOOKUP(August[[#This Row],[Drug Name]],'Data Options'!$R$1:$S$100,2,FALSE), " ")</f>
        <v xml:space="preserve"> </v>
      </c>
      <c r="R188" s="32"/>
      <c r="S188" s="32"/>
      <c r="T188" s="53"/>
      <c r="U188" s="21" t="str">
        <f>IFERROR(VLOOKUP(August[[#This Row],[Drug Name2]],'Data Options'!$R$1:$S$100,2,FALSE), " ")</f>
        <v xml:space="preserve"> </v>
      </c>
      <c r="V188" s="32"/>
      <c r="W188" s="32"/>
      <c r="X188" s="53"/>
      <c r="Y188" s="21" t="str">
        <f>IFERROR(VLOOKUP(August[[#This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21" t="str">
        <f>IFERROR(VLOOKUP(August[[#This Row],[Drug Name4]],'Data Options'!$R$1:$S$100,2,FALSE), " ")</f>
        <v xml:space="preserve"> </v>
      </c>
      <c r="AI188" s="32"/>
      <c r="AJ188" s="32"/>
      <c r="AK188" s="53"/>
      <c r="AL188" s="21" t="str">
        <f>IFERROR(VLOOKUP(August[[#This Row],[Drug Name5]],'Data Options'!$R$1:$S$100,2,FALSE), " ")</f>
        <v xml:space="preserve"> </v>
      </c>
      <c r="AM188" s="32"/>
      <c r="AN188" s="32"/>
      <c r="AO188" s="53"/>
      <c r="AP188" s="21" t="str">
        <f>IFERROR(VLOOKUP(August[[#This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21" t="str">
        <f>IFERROR(VLOOKUP(August[[#This Row],[Drug Name7]],'Data Options'!$R$1:$S$100,2,FALSE), " ")</f>
        <v xml:space="preserve"> </v>
      </c>
      <c r="AZ188" s="32"/>
      <c r="BA188" s="32"/>
      <c r="BB188" s="53"/>
      <c r="BC188" s="21" t="str">
        <f>IFERROR(VLOOKUP(August[[#This Row],[Drug Name8]],'Data Options'!$R$1:$S$100,2,FALSE), " ")</f>
        <v xml:space="preserve"> </v>
      </c>
      <c r="BD188" s="32"/>
      <c r="BE188" s="32"/>
      <c r="BF188" s="53"/>
      <c r="BG188" s="21" t="str">
        <f>IFERROR(VLOOKUP(August[[#This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21" t="str">
        <f>IFERROR(VLOOKUP(August[[#This Row],[Drug Name]],'Data Options'!$R$1:$S$100,2,FALSE), " ")</f>
        <v xml:space="preserve"> </v>
      </c>
      <c r="R189" s="32"/>
      <c r="S189" s="32"/>
      <c r="T189" s="53"/>
      <c r="U189" s="21" t="str">
        <f>IFERROR(VLOOKUP(August[[#This Row],[Drug Name2]],'Data Options'!$R$1:$S$100,2,FALSE), " ")</f>
        <v xml:space="preserve"> </v>
      </c>
      <c r="V189" s="32"/>
      <c r="W189" s="32"/>
      <c r="X189" s="53"/>
      <c r="Y189" s="21" t="str">
        <f>IFERROR(VLOOKUP(August[[#This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21" t="str">
        <f>IFERROR(VLOOKUP(August[[#This Row],[Drug Name4]],'Data Options'!$R$1:$S$100,2,FALSE), " ")</f>
        <v xml:space="preserve"> </v>
      </c>
      <c r="AI189" s="32"/>
      <c r="AJ189" s="32"/>
      <c r="AK189" s="53"/>
      <c r="AL189" s="21" t="str">
        <f>IFERROR(VLOOKUP(August[[#This Row],[Drug Name5]],'Data Options'!$R$1:$S$100,2,FALSE), " ")</f>
        <v xml:space="preserve"> </v>
      </c>
      <c r="AM189" s="32"/>
      <c r="AN189" s="32"/>
      <c r="AO189" s="53"/>
      <c r="AP189" s="21" t="str">
        <f>IFERROR(VLOOKUP(August[[#This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21" t="str">
        <f>IFERROR(VLOOKUP(August[[#This Row],[Drug Name7]],'Data Options'!$R$1:$S$100,2,FALSE), " ")</f>
        <v xml:space="preserve"> </v>
      </c>
      <c r="AZ189" s="32"/>
      <c r="BA189" s="32"/>
      <c r="BB189" s="53"/>
      <c r="BC189" s="21" t="str">
        <f>IFERROR(VLOOKUP(August[[#This Row],[Drug Name8]],'Data Options'!$R$1:$S$100,2,FALSE), " ")</f>
        <v xml:space="preserve"> </v>
      </c>
      <c r="BD189" s="32"/>
      <c r="BE189" s="32"/>
      <c r="BF189" s="53"/>
      <c r="BG189" s="21" t="str">
        <f>IFERROR(VLOOKUP(August[[#This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21" t="str">
        <f>IFERROR(VLOOKUP(August[[#This Row],[Drug Name]],'Data Options'!$R$1:$S$100,2,FALSE), " ")</f>
        <v xml:space="preserve"> </v>
      </c>
      <c r="R190" s="32"/>
      <c r="S190" s="32"/>
      <c r="T190" s="53"/>
      <c r="U190" s="21" t="str">
        <f>IFERROR(VLOOKUP(August[[#This Row],[Drug Name2]],'Data Options'!$R$1:$S$100,2,FALSE), " ")</f>
        <v xml:space="preserve"> </v>
      </c>
      <c r="V190" s="32"/>
      <c r="W190" s="32"/>
      <c r="X190" s="53"/>
      <c r="Y190" s="21" t="str">
        <f>IFERROR(VLOOKUP(August[[#This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21" t="str">
        <f>IFERROR(VLOOKUP(August[[#This Row],[Drug Name4]],'Data Options'!$R$1:$S$100,2,FALSE), " ")</f>
        <v xml:space="preserve"> </v>
      </c>
      <c r="AI190" s="32"/>
      <c r="AJ190" s="32"/>
      <c r="AK190" s="53"/>
      <c r="AL190" s="21" t="str">
        <f>IFERROR(VLOOKUP(August[[#This Row],[Drug Name5]],'Data Options'!$R$1:$S$100,2,FALSE), " ")</f>
        <v xml:space="preserve"> </v>
      </c>
      <c r="AM190" s="32"/>
      <c r="AN190" s="32"/>
      <c r="AO190" s="53"/>
      <c r="AP190" s="21" t="str">
        <f>IFERROR(VLOOKUP(August[[#This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21" t="str">
        <f>IFERROR(VLOOKUP(August[[#This Row],[Drug Name7]],'Data Options'!$R$1:$S$100,2,FALSE), " ")</f>
        <v xml:space="preserve"> </v>
      </c>
      <c r="AZ190" s="32"/>
      <c r="BA190" s="32"/>
      <c r="BB190" s="53"/>
      <c r="BC190" s="21" t="str">
        <f>IFERROR(VLOOKUP(August[[#This Row],[Drug Name8]],'Data Options'!$R$1:$S$100,2,FALSE), " ")</f>
        <v xml:space="preserve"> </v>
      </c>
      <c r="BD190" s="32"/>
      <c r="BE190" s="32"/>
      <c r="BF190" s="53"/>
      <c r="BG190" s="21" t="str">
        <f>IFERROR(VLOOKUP(August[[#This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21" t="str">
        <f>IFERROR(VLOOKUP(August[[#This Row],[Drug Name]],'Data Options'!$R$1:$S$100,2,FALSE), " ")</f>
        <v xml:space="preserve"> </v>
      </c>
      <c r="R191" s="32"/>
      <c r="S191" s="32"/>
      <c r="T191" s="53"/>
      <c r="U191" s="21" t="str">
        <f>IFERROR(VLOOKUP(August[[#This Row],[Drug Name2]],'Data Options'!$R$1:$S$100,2,FALSE), " ")</f>
        <v xml:space="preserve"> </v>
      </c>
      <c r="V191" s="32"/>
      <c r="W191" s="32"/>
      <c r="X191" s="53"/>
      <c r="Y191" s="21" t="str">
        <f>IFERROR(VLOOKUP(August[[#This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21" t="str">
        <f>IFERROR(VLOOKUP(August[[#This Row],[Drug Name4]],'Data Options'!$R$1:$S$100,2,FALSE), " ")</f>
        <v xml:space="preserve"> </v>
      </c>
      <c r="AI191" s="32"/>
      <c r="AJ191" s="32"/>
      <c r="AK191" s="53"/>
      <c r="AL191" s="21" t="str">
        <f>IFERROR(VLOOKUP(August[[#This Row],[Drug Name5]],'Data Options'!$R$1:$S$100,2,FALSE), " ")</f>
        <v xml:space="preserve"> </v>
      </c>
      <c r="AM191" s="32"/>
      <c r="AN191" s="32"/>
      <c r="AO191" s="53"/>
      <c r="AP191" s="21" t="str">
        <f>IFERROR(VLOOKUP(August[[#This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21" t="str">
        <f>IFERROR(VLOOKUP(August[[#This Row],[Drug Name7]],'Data Options'!$R$1:$S$100,2,FALSE), " ")</f>
        <v xml:space="preserve"> </v>
      </c>
      <c r="AZ191" s="32"/>
      <c r="BA191" s="32"/>
      <c r="BB191" s="53"/>
      <c r="BC191" s="21" t="str">
        <f>IFERROR(VLOOKUP(August[[#This Row],[Drug Name8]],'Data Options'!$R$1:$S$100,2,FALSE), " ")</f>
        <v xml:space="preserve"> </v>
      </c>
      <c r="BD191" s="32"/>
      <c r="BE191" s="32"/>
      <c r="BF191" s="53"/>
      <c r="BG191" s="21" t="str">
        <f>IFERROR(VLOOKUP(August[[#This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21" t="str">
        <f>IFERROR(VLOOKUP(August[[#This Row],[Drug Name]],'Data Options'!$R$1:$S$100,2,FALSE), " ")</f>
        <v xml:space="preserve"> </v>
      </c>
      <c r="R192" s="32"/>
      <c r="S192" s="32"/>
      <c r="T192" s="53"/>
      <c r="U192" s="21" t="str">
        <f>IFERROR(VLOOKUP(August[[#This Row],[Drug Name2]],'Data Options'!$R$1:$S$100,2,FALSE), " ")</f>
        <v xml:space="preserve"> </v>
      </c>
      <c r="V192" s="32"/>
      <c r="W192" s="32"/>
      <c r="X192" s="53"/>
      <c r="Y192" s="21" t="str">
        <f>IFERROR(VLOOKUP(August[[#This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21" t="str">
        <f>IFERROR(VLOOKUP(August[[#This Row],[Drug Name4]],'Data Options'!$R$1:$S$100,2,FALSE), " ")</f>
        <v xml:space="preserve"> </v>
      </c>
      <c r="AI192" s="32"/>
      <c r="AJ192" s="32"/>
      <c r="AK192" s="53"/>
      <c r="AL192" s="21" t="str">
        <f>IFERROR(VLOOKUP(August[[#This Row],[Drug Name5]],'Data Options'!$R$1:$S$100,2,FALSE), " ")</f>
        <v xml:space="preserve"> </v>
      </c>
      <c r="AM192" s="32"/>
      <c r="AN192" s="32"/>
      <c r="AO192" s="53"/>
      <c r="AP192" s="21" t="str">
        <f>IFERROR(VLOOKUP(August[[#This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21" t="str">
        <f>IFERROR(VLOOKUP(August[[#This Row],[Drug Name7]],'Data Options'!$R$1:$S$100,2,FALSE), " ")</f>
        <v xml:space="preserve"> </v>
      </c>
      <c r="AZ192" s="32"/>
      <c r="BA192" s="32"/>
      <c r="BB192" s="53"/>
      <c r="BC192" s="21" t="str">
        <f>IFERROR(VLOOKUP(August[[#This Row],[Drug Name8]],'Data Options'!$R$1:$S$100,2,FALSE), " ")</f>
        <v xml:space="preserve"> </v>
      </c>
      <c r="BD192" s="32"/>
      <c r="BE192" s="32"/>
      <c r="BF192" s="53"/>
      <c r="BG192" s="21" t="str">
        <f>IFERROR(VLOOKUP(August[[#This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21" t="str">
        <f>IFERROR(VLOOKUP(August[[#This Row],[Drug Name]],'Data Options'!$R$1:$S$100,2,FALSE), " ")</f>
        <v xml:space="preserve"> </v>
      </c>
      <c r="R193" s="32"/>
      <c r="S193" s="32"/>
      <c r="T193" s="53"/>
      <c r="U193" s="21" t="str">
        <f>IFERROR(VLOOKUP(August[[#This Row],[Drug Name2]],'Data Options'!$R$1:$S$100,2,FALSE), " ")</f>
        <v xml:space="preserve"> </v>
      </c>
      <c r="V193" s="32"/>
      <c r="W193" s="32"/>
      <c r="X193" s="53"/>
      <c r="Y193" s="21" t="str">
        <f>IFERROR(VLOOKUP(August[[#This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21" t="str">
        <f>IFERROR(VLOOKUP(August[[#This Row],[Drug Name4]],'Data Options'!$R$1:$S$100,2,FALSE), " ")</f>
        <v xml:space="preserve"> </v>
      </c>
      <c r="AI193" s="32"/>
      <c r="AJ193" s="32"/>
      <c r="AK193" s="53"/>
      <c r="AL193" s="21" t="str">
        <f>IFERROR(VLOOKUP(August[[#This Row],[Drug Name5]],'Data Options'!$R$1:$S$100,2,FALSE), " ")</f>
        <v xml:space="preserve"> </v>
      </c>
      <c r="AM193" s="32"/>
      <c r="AN193" s="32"/>
      <c r="AO193" s="53"/>
      <c r="AP193" s="21" t="str">
        <f>IFERROR(VLOOKUP(August[[#This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21" t="str">
        <f>IFERROR(VLOOKUP(August[[#This Row],[Drug Name7]],'Data Options'!$R$1:$S$100,2,FALSE), " ")</f>
        <v xml:space="preserve"> </v>
      </c>
      <c r="AZ193" s="32"/>
      <c r="BA193" s="32"/>
      <c r="BB193" s="53"/>
      <c r="BC193" s="21" t="str">
        <f>IFERROR(VLOOKUP(August[[#This Row],[Drug Name8]],'Data Options'!$R$1:$S$100,2,FALSE), " ")</f>
        <v xml:space="preserve"> </v>
      </c>
      <c r="BD193" s="32"/>
      <c r="BE193" s="32"/>
      <c r="BF193" s="53"/>
      <c r="BG193" s="21" t="str">
        <f>IFERROR(VLOOKUP(August[[#This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21" t="str">
        <f>IFERROR(VLOOKUP(August[[#This Row],[Drug Name]],'Data Options'!$R$1:$S$100,2,FALSE), " ")</f>
        <v xml:space="preserve"> </v>
      </c>
      <c r="R194" s="32"/>
      <c r="S194" s="32"/>
      <c r="T194" s="53"/>
      <c r="U194" s="21" t="str">
        <f>IFERROR(VLOOKUP(August[[#This Row],[Drug Name2]],'Data Options'!$R$1:$S$100,2,FALSE), " ")</f>
        <v xml:space="preserve"> </v>
      </c>
      <c r="V194" s="32"/>
      <c r="W194" s="32"/>
      <c r="X194" s="53"/>
      <c r="Y194" s="21" t="str">
        <f>IFERROR(VLOOKUP(August[[#This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21" t="str">
        <f>IFERROR(VLOOKUP(August[[#This Row],[Drug Name4]],'Data Options'!$R$1:$S$100,2,FALSE), " ")</f>
        <v xml:space="preserve"> </v>
      </c>
      <c r="AI194" s="32"/>
      <c r="AJ194" s="32"/>
      <c r="AK194" s="53"/>
      <c r="AL194" s="21" t="str">
        <f>IFERROR(VLOOKUP(August[[#This Row],[Drug Name5]],'Data Options'!$R$1:$S$100,2,FALSE), " ")</f>
        <v xml:space="preserve"> </v>
      </c>
      <c r="AM194" s="32"/>
      <c r="AN194" s="32"/>
      <c r="AO194" s="53"/>
      <c r="AP194" s="21" t="str">
        <f>IFERROR(VLOOKUP(August[[#This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21" t="str">
        <f>IFERROR(VLOOKUP(August[[#This Row],[Drug Name7]],'Data Options'!$R$1:$S$100,2,FALSE), " ")</f>
        <v xml:space="preserve"> </v>
      </c>
      <c r="AZ194" s="32"/>
      <c r="BA194" s="32"/>
      <c r="BB194" s="53"/>
      <c r="BC194" s="21" t="str">
        <f>IFERROR(VLOOKUP(August[[#This Row],[Drug Name8]],'Data Options'!$R$1:$S$100,2,FALSE), " ")</f>
        <v xml:space="preserve"> </v>
      </c>
      <c r="BD194" s="32"/>
      <c r="BE194" s="32"/>
      <c r="BF194" s="53"/>
      <c r="BG194" s="21" t="str">
        <f>IFERROR(VLOOKUP(August[[#This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21" t="str">
        <f>IFERROR(VLOOKUP(August[[#This Row],[Drug Name]],'Data Options'!$R$1:$S$100,2,FALSE), " ")</f>
        <v xml:space="preserve"> </v>
      </c>
      <c r="R195" s="32"/>
      <c r="S195" s="32"/>
      <c r="T195" s="53"/>
      <c r="U195" s="21" t="str">
        <f>IFERROR(VLOOKUP(August[[#This Row],[Drug Name2]],'Data Options'!$R$1:$S$100,2,FALSE), " ")</f>
        <v xml:space="preserve"> </v>
      </c>
      <c r="V195" s="32"/>
      <c r="W195" s="32"/>
      <c r="X195" s="53"/>
      <c r="Y195" s="21" t="str">
        <f>IFERROR(VLOOKUP(August[[#This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21" t="str">
        <f>IFERROR(VLOOKUP(August[[#This Row],[Drug Name4]],'Data Options'!$R$1:$S$100,2,FALSE), " ")</f>
        <v xml:space="preserve"> </v>
      </c>
      <c r="AI195" s="32"/>
      <c r="AJ195" s="32"/>
      <c r="AK195" s="53"/>
      <c r="AL195" s="21" t="str">
        <f>IFERROR(VLOOKUP(August[[#This Row],[Drug Name5]],'Data Options'!$R$1:$S$100,2,FALSE), " ")</f>
        <v xml:space="preserve"> </v>
      </c>
      <c r="AM195" s="32"/>
      <c r="AN195" s="32"/>
      <c r="AO195" s="53"/>
      <c r="AP195" s="21" t="str">
        <f>IFERROR(VLOOKUP(August[[#This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21" t="str">
        <f>IFERROR(VLOOKUP(August[[#This Row],[Drug Name7]],'Data Options'!$R$1:$S$100,2,FALSE), " ")</f>
        <v xml:space="preserve"> </v>
      </c>
      <c r="AZ195" s="32"/>
      <c r="BA195" s="32"/>
      <c r="BB195" s="53"/>
      <c r="BC195" s="21" t="str">
        <f>IFERROR(VLOOKUP(August[[#This Row],[Drug Name8]],'Data Options'!$R$1:$S$100,2,FALSE), " ")</f>
        <v xml:space="preserve"> </v>
      </c>
      <c r="BD195" s="32"/>
      <c r="BE195" s="32"/>
      <c r="BF195" s="53"/>
      <c r="BG195" s="21" t="str">
        <f>IFERROR(VLOOKUP(August[[#This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21" t="str">
        <f>IFERROR(VLOOKUP(August[[#This Row],[Drug Name]],'Data Options'!$R$1:$S$100,2,FALSE), " ")</f>
        <v xml:space="preserve"> </v>
      </c>
      <c r="R196" s="32"/>
      <c r="S196" s="32"/>
      <c r="T196" s="53"/>
      <c r="U196" s="21" t="str">
        <f>IFERROR(VLOOKUP(August[[#This Row],[Drug Name2]],'Data Options'!$R$1:$S$100,2,FALSE), " ")</f>
        <v xml:space="preserve"> </v>
      </c>
      <c r="V196" s="32"/>
      <c r="W196" s="32"/>
      <c r="X196" s="53"/>
      <c r="Y196" s="21" t="str">
        <f>IFERROR(VLOOKUP(August[[#This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21" t="str">
        <f>IFERROR(VLOOKUP(August[[#This Row],[Drug Name4]],'Data Options'!$R$1:$S$100,2,FALSE), " ")</f>
        <v xml:space="preserve"> </v>
      </c>
      <c r="AI196" s="32"/>
      <c r="AJ196" s="32"/>
      <c r="AK196" s="53"/>
      <c r="AL196" s="21" t="str">
        <f>IFERROR(VLOOKUP(August[[#This Row],[Drug Name5]],'Data Options'!$R$1:$S$100,2,FALSE), " ")</f>
        <v xml:space="preserve"> </v>
      </c>
      <c r="AM196" s="32"/>
      <c r="AN196" s="32"/>
      <c r="AO196" s="53"/>
      <c r="AP196" s="21" t="str">
        <f>IFERROR(VLOOKUP(August[[#This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21" t="str">
        <f>IFERROR(VLOOKUP(August[[#This Row],[Drug Name7]],'Data Options'!$R$1:$S$100,2,FALSE), " ")</f>
        <v xml:space="preserve"> </v>
      </c>
      <c r="AZ196" s="32"/>
      <c r="BA196" s="32"/>
      <c r="BB196" s="53"/>
      <c r="BC196" s="21" t="str">
        <f>IFERROR(VLOOKUP(August[[#This Row],[Drug Name8]],'Data Options'!$R$1:$S$100,2,FALSE), " ")</f>
        <v xml:space="preserve"> </v>
      </c>
      <c r="BD196" s="32"/>
      <c r="BE196" s="32"/>
      <c r="BF196" s="53"/>
      <c r="BG196" s="21" t="str">
        <f>IFERROR(VLOOKUP(August[[#This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21" t="str">
        <f>IFERROR(VLOOKUP(August[[#This Row],[Drug Name]],'Data Options'!$R$1:$S$100,2,FALSE), " ")</f>
        <v xml:space="preserve"> </v>
      </c>
      <c r="R197" s="32"/>
      <c r="S197" s="32"/>
      <c r="T197" s="53"/>
      <c r="U197" s="21" t="str">
        <f>IFERROR(VLOOKUP(August[[#This Row],[Drug Name2]],'Data Options'!$R$1:$S$100,2,FALSE), " ")</f>
        <v xml:space="preserve"> </v>
      </c>
      <c r="V197" s="32"/>
      <c r="W197" s="32"/>
      <c r="X197" s="53"/>
      <c r="Y197" s="21" t="str">
        <f>IFERROR(VLOOKUP(August[[#This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21" t="str">
        <f>IFERROR(VLOOKUP(August[[#This Row],[Drug Name4]],'Data Options'!$R$1:$S$100,2,FALSE), " ")</f>
        <v xml:space="preserve"> </v>
      </c>
      <c r="AI197" s="32"/>
      <c r="AJ197" s="32"/>
      <c r="AK197" s="53"/>
      <c r="AL197" s="21" t="str">
        <f>IFERROR(VLOOKUP(August[[#This Row],[Drug Name5]],'Data Options'!$R$1:$S$100,2,FALSE), " ")</f>
        <v xml:space="preserve"> </v>
      </c>
      <c r="AM197" s="32"/>
      <c r="AN197" s="32"/>
      <c r="AO197" s="53"/>
      <c r="AP197" s="21" t="str">
        <f>IFERROR(VLOOKUP(August[[#This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21" t="str">
        <f>IFERROR(VLOOKUP(August[[#This Row],[Drug Name7]],'Data Options'!$R$1:$S$100,2,FALSE), " ")</f>
        <v xml:space="preserve"> </v>
      </c>
      <c r="AZ197" s="32"/>
      <c r="BA197" s="32"/>
      <c r="BB197" s="53"/>
      <c r="BC197" s="21" t="str">
        <f>IFERROR(VLOOKUP(August[[#This Row],[Drug Name8]],'Data Options'!$R$1:$S$100,2,FALSE), " ")</f>
        <v xml:space="preserve"> </v>
      </c>
      <c r="BD197" s="32"/>
      <c r="BE197" s="32"/>
      <c r="BF197" s="53"/>
      <c r="BG197" s="21" t="str">
        <f>IFERROR(VLOOKUP(August[[#This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21" t="str">
        <f>IFERROR(VLOOKUP(August[[#This Row],[Drug Name]],'Data Options'!$R$1:$S$100,2,FALSE), " ")</f>
        <v xml:space="preserve"> </v>
      </c>
      <c r="R198" s="32"/>
      <c r="S198" s="32"/>
      <c r="T198" s="53"/>
      <c r="U198" s="21" t="str">
        <f>IFERROR(VLOOKUP(August[[#This Row],[Drug Name2]],'Data Options'!$R$1:$S$100,2,FALSE), " ")</f>
        <v xml:space="preserve"> </v>
      </c>
      <c r="V198" s="32"/>
      <c r="W198" s="32"/>
      <c r="X198" s="53"/>
      <c r="Y198" s="21" t="str">
        <f>IFERROR(VLOOKUP(August[[#This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21" t="str">
        <f>IFERROR(VLOOKUP(August[[#This Row],[Drug Name4]],'Data Options'!$R$1:$S$100,2,FALSE), " ")</f>
        <v xml:space="preserve"> </v>
      </c>
      <c r="AI198" s="32"/>
      <c r="AJ198" s="32"/>
      <c r="AK198" s="53"/>
      <c r="AL198" s="21" t="str">
        <f>IFERROR(VLOOKUP(August[[#This Row],[Drug Name5]],'Data Options'!$R$1:$S$100,2,FALSE), " ")</f>
        <v xml:space="preserve"> </v>
      </c>
      <c r="AM198" s="32"/>
      <c r="AN198" s="32"/>
      <c r="AO198" s="53"/>
      <c r="AP198" s="21" t="str">
        <f>IFERROR(VLOOKUP(August[[#This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21" t="str">
        <f>IFERROR(VLOOKUP(August[[#This Row],[Drug Name7]],'Data Options'!$R$1:$S$100,2,FALSE), " ")</f>
        <v xml:space="preserve"> </v>
      </c>
      <c r="AZ198" s="32"/>
      <c r="BA198" s="32"/>
      <c r="BB198" s="53"/>
      <c r="BC198" s="21" t="str">
        <f>IFERROR(VLOOKUP(August[[#This Row],[Drug Name8]],'Data Options'!$R$1:$S$100,2,FALSE), " ")</f>
        <v xml:space="preserve"> </v>
      </c>
      <c r="BD198" s="32"/>
      <c r="BE198" s="32"/>
      <c r="BF198" s="53"/>
      <c r="BG198" s="21" t="str">
        <f>IFERROR(VLOOKUP(August[[#This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21" t="str">
        <f>IFERROR(VLOOKUP(August[[#This Row],[Drug Name]],'Data Options'!$R$1:$S$100,2,FALSE), " ")</f>
        <v xml:space="preserve"> </v>
      </c>
      <c r="R199" s="32"/>
      <c r="S199" s="32"/>
      <c r="T199" s="53"/>
      <c r="U199" s="21" t="str">
        <f>IFERROR(VLOOKUP(August[[#This Row],[Drug Name2]],'Data Options'!$R$1:$S$100,2,FALSE), " ")</f>
        <v xml:space="preserve"> </v>
      </c>
      <c r="V199" s="32"/>
      <c r="W199" s="32"/>
      <c r="X199" s="53"/>
      <c r="Y199" s="21" t="str">
        <f>IFERROR(VLOOKUP(August[[#This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21" t="str">
        <f>IFERROR(VLOOKUP(August[[#This Row],[Drug Name4]],'Data Options'!$R$1:$S$100,2,FALSE), " ")</f>
        <v xml:space="preserve"> </v>
      </c>
      <c r="AI199" s="32"/>
      <c r="AJ199" s="32"/>
      <c r="AK199" s="53"/>
      <c r="AL199" s="21" t="str">
        <f>IFERROR(VLOOKUP(August[[#This Row],[Drug Name5]],'Data Options'!$R$1:$S$100,2,FALSE), " ")</f>
        <v xml:space="preserve"> </v>
      </c>
      <c r="AM199" s="32"/>
      <c r="AN199" s="32"/>
      <c r="AO199" s="53"/>
      <c r="AP199" s="21" t="str">
        <f>IFERROR(VLOOKUP(August[[#This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21" t="str">
        <f>IFERROR(VLOOKUP(August[[#This Row],[Drug Name7]],'Data Options'!$R$1:$S$100,2,FALSE), " ")</f>
        <v xml:space="preserve"> </v>
      </c>
      <c r="AZ199" s="32"/>
      <c r="BA199" s="32"/>
      <c r="BB199" s="53"/>
      <c r="BC199" s="21" t="str">
        <f>IFERROR(VLOOKUP(August[[#This Row],[Drug Name8]],'Data Options'!$R$1:$S$100,2,FALSE), " ")</f>
        <v xml:space="preserve"> </v>
      </c>
      <c r="BD199" s="32"/>
      <c r="BE199" s="32"/>
      <c r="BF199" s="53"/>
      <c r="BG199" s="21" t="str">
        <f>IFERROR(VLOOKUP(August[[#This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21" t="str">
        <f>IFERROR(VLOOKUP(August[[#This Row],[Drug Name]],'Data Options'!$R$1:$S$100,2,FALSE), " ")</f>
        <v xml:space="preserve"> </v>
      </c>
      <c r="R200" s="32"/>
      <c r="S200" s="32"/>
      <c r="T200" s="53"/>
      <c r="U200" s="21" t="str">
        <f>IFERROR(VLOOKUP(August[[#This Row],[Drug Name2]],'Data Options'!$R$1:$S$100,2,FALSE), " ")</f>
        <v xml:space="preserve"> </v>
      </c>
      <c r="V200" s="32"/>
      <c r="W200" s="32"/>
      <c r="X200" s="53"/>
      <c r="Y200" s="21" t="str">
        <f>IFERROR(VLOOKUP(August[[#This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21" t="str">
        <f>IFERROR(VLOOKUP(August[[#This Row],[Drug Name4]],'Data Options'!$R$1:$S$100,2,FALSE), " ")</f>
        <v xml:space="preserve"> </v>
      </c>
      <c r="AI200" s="32"/>
      <c r="AJ200" s="32"/>
      <c r="AK200" s="53"/>
      <c r="AL200" s="21" t="str">
        <f>IFERROR(VLOOKUP(August[[#This Row],[Drug Name5]],'Data Options'!$R$1:$S$100,2,FALSE), " ")</f>
        <v xml:space="preserve"> </v>
      </c>
      <c r="AM200" s="32"/>
      <c r="AN200" s="32"/>
      <c r="AO200" s="53"/>
      <c r="AP200" s="21" t="str">
        <f>IFERROR(VLOOKUP(August[[#This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21" t="str">
        <f>IFERROR(VLOOKUP(August[[#This Row],[Drug Name7]],'Data Options'!$R$1:$S$100,2,FALSE), " ")</f>
        <v xml:space="preserve"> </v>
      </c>
      <c r="AZ200" s="32"/>
      <c r="BA200" s="32"/>
      <c r="BB200" s="53"/>
      <c r="BC200" s="21" t="str">
        <f>IFERROR(VLOOKUP(August[[#This Row],[Drug Name8]],'Data Options'!$R$1:$S$100,2,FALSE), " ")</f>
        <v xml:space="preserve"> </v>
      </c>
      <c r="BD200" s="32"/>
      <c r="BE200" s="32"/>
      <c r="BF200" s="53"/>
      <c r="BG200" s="21" t="str">
        <f>IFERROR(VLOOKUP(August[[#This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21" t="str">
        <f>IFERROR(VLOOKUP(August[[#This Row],[Drug Name]],'Data Options'!$R$1:$S$100,2,FALSE), " ")</f>
        <v xml:space="preserve"> </v>
      </c>
      <c r="R201" s="32"/>
      <c r="S201" s="32"/>
      <c r="T201" s="53"/>
      <c r="U201" s="21" t="str">
        <f>IFERROR(VLOOKUP(August[[#This Row],[Drug Name2]],'Data Options'!$R$1:$S$100,2,FALSE), " ")</f>
        <v xml:space="preserve"> </v>
      </c>
      <c r="V201" s="32"/>
      <c r="W201" s="32"/>
      <c r="X201" s="53"/>
      <c r="Y201" s="21" t="str">
        <f>IFERROR(VLOOKUP(August[[#This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21" t="str">
        <f>IFERROR(VLOOKUP(August[[#This Row],[Drug Name4]],'Data Options'!$R$1:$S$100,2,FALSE), " ")</f>
        <v xml:space="preserve"> </v>
      </c>
      <c r="AI201" s="32"/>
      <c r="AJ201" s="32"/>
      <c r="AK201" s="53"/>
      <c r="AL201" s="21" t="str">
        <f>IFERROR(VLOOKUP(August[[#This Row],[Drug Name5]],'Data Options'!$R$1:$S$100,2,FALSE), " ")</f>
        <v xml:space="preserve"> </v>
      </c>
      <c r="AM201" s="32"/>
      <c r="AN201" s="32"/>
      <c r="AO201" s="53"/>
      <c r="AP201" s="21" t="str">
        <f>IFERROR(VLOOKUP(August[[#This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21" t="str">
        <f>IFERROR(VLOOKUP(August[[#This Row],[Drug Name7]],'Data Options'!$R$1:$S$100,2,FALSE), " ")</f>
        <v xml:space="preserve"> </v>
      </c>
      <c r="AZ201" s="32"/>
      <c r="BA201" s="32"/>
      <c r="BB201" s="53"/>
      <c r="BC201" s="21" t="str">
        <f>IFERROR(VLOOKUP(August[[#This Row],[Drug Name8]],'Data Options'!$R$1:$S$100,2,FALSE), " ")</f>
        <v xml:space="preserve"> </v>
      </c>
      <c r="BD201" s="32"/>
      <c r="BE201" s="32"/>
      <c r="BF201" s="53"/>
      <c r="BG201" s="21" t="str">
        <f>IFERROR(VLOOKUP(August[[#This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pTW00oUB6ccZfIgQSEKSXIeCRX8XDhBgm62VzRl8rKEyGT5vwEQGy7SeunZOocl1S7NwPo5yDTOxWyzCyDrCUg==" saltValue="7yZJhyQrGjFnXYuvsnZKsg==" spinCount="100000" sheet="1" objects="1" scenarios="1"/>
  <mergeCells count="13">
    <mergeCell ref="AG2:AJ2"/>
    <mergeCell ref="AX2:BA2"/>
    <mergeCell ref="BB2:BE2"/>
    <mergeCell ref="BF2:BI2"/>
    <mergeCell ref="AB1:AF2"/>
    <mergeCell ref="AS1:AW2"/>
    <mergeCell ref="AO2:AR2"/>
    <mergeCell ref="A1:J2"/>
    <mergeCell ref="K1:Y1"/>
    <mergeCell ref="K2:O2"/>
    <mergeCell ref="P2:S2"/>
    <mergeCell ref="T2:W2"/>
    <mergeCell ref="X2:AA2"/>
  </mergeCells>
  <phoneticPr fontId="5" type="noConversion"/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workbookViewId="0">
      <selection activeCell="D18" sqref="D18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44075</v>
      </c>
      <c r="B4" s="52" t="s">
        <v>294</v>
      </c>
      <c r="C4" s="32">
        <v>20081</v>
      </c>
      <c r="D4" s="32" t="s">
        <v>12</v>
      </c>
      <c r="E4" s="32" t="s">
        <v>17</v>
      </c>
      <c r="F4" s="32" t="s">
        <v>218</v>
      </c>
      <c r="G4" s="32" t="s">
        <v>18</v>
      </c>
      <c r="H4" s="32"/>
      <c r="I4" s="32" t="s">
        <v>23</v>
      </c>
      <c r="J4" s="32">
        <v>0</v>
      </c>
      <c r="K4" s="32" t="s">
        <v>100</v>
      </c>
      <c r="L4" s="32"/>
      <c r="M4" s="32"/>
      <c r="N4" s="31"/>
      <c r="O4" s="31"/>
      <c r="P4" s="53"/>
      <c r="Q4" s="21" t="str">
        <f>IFERROR(VLOOKUP(September[[#This Row],[Drug Name]],'Data Options'!$R$1:$S$100,2,FALSE), " ")</f>
        <v xml:space="preserve"> </v>
      </c>
      <c r="R4" s="32"/>
      <c r="S4" s="32"/>
      <c r="T4" s="53"/>
      <c r="U4" s="21" t="str">
        <f>IFERROR(VLOOKUP(September[[#This Row],[Drug Name2]],'Data Options'!$R$1:$S$100,2,FALSE), " ")</f>
        <v xml:space="preserve"> </v>
      </c>
      <c r="V4" s="32"/>
      <c r="W4" s="32"/>
      <c r="X4" s="53"/>
      <c r="Y4" s="21" t="str">
        <f>IFERROR(VLOOKUP(September[[#This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21" t="str">
        <f>IFERROR(VLOOKUP(September[[#This Row],[Drug Name4]],'Data Options'!$R$1:$S$100,2,FALSE), " ")</f>
        <v xml:space="preserve"> </v>
      </c>
      <c r="AI4" s="32"/>
      <c r="AJ4" s="32"/>
      <c r="AK4" s="53"/>
      <c r="AL4" s="21" t="str">
        <f>IFERROR(VLOOKUP(September[[#This Row],[Drug Name5]],'Data Options'!$R$1:$S$100,2,FALSE), " ")</f>
        <v xml:space="preserve"> </v>
      </c>
      <c r="AM4" s="32"/>
      <c r="AN4" s="32"/>
      <c r="AO4" s="53"/>
      <c r="AP4" s="21" t="str">
        <f>IFERROR(VLOOKUP(September[[#This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21" t="str">
        <f>IFERROR(VLOOKUP(September[[#This Row],[Drug Name7]],'Data Options'!$R$1:$S$100,2,FALSE), " ")</f>
        <v xml:space="preserve"> </v>
      </c>
      <c r="AZ4" s="32"/>
      <c r="BA4" s="32"/>
      <c r="BB4" s="53"/>
      <c r="BC4" s="21" t="str">
        <f>IFERROR(VLOOKUP(September[[#This Row],[Drug Name8]],'Data Options'!$R$1:$S$100,2,FALSE), " ")</f>
        <v xml:space="preserve"> </v>
      </c>
      <c r="BD4" s="32"/>
      <c r="BE4" s="32"/>
      <c r="BF4" s="53"/>
      <c r="BG4" s="21" t="str">
        <f>IFERROR(VLOOKUP(September[[#This Row],[Drug Name9]],'Data Options'!$R$1:$S$100,2,FALSE), " ")</f>
        <v xml:space="preserve"> </v>
      </c>
      <c r="BH4" s="32"/>
      <c r="BI4" s="32"/>
    </row>
    <row r="5" spans="1:61">
      <c r="A5" s="51">
        <v>44076</v>
      </c>
      <c r="B5" s="52" t="s">
        <v>294</v>
      </c>
      <c r="C5" s="32">
        <v>20082</v>
      </c>
      <c r="D5" s="32" t="s">
        <v>13</v>
      </c>
      <c r="E5" s="32" t="s">
        <v>16</v>
      </c>
      <c r="F5" s="32" t="s">
        <v>117</v>
      </c>
      <c r="G5" s="32" t="s">
        <v>149</v>
      </c>
      <c r="H5" s="32"/>
      <c r="I5" s="32" t="s">
        <v>23</v>
      </c>
      <c r="J5" s="32">
        <v>0</v>
      </c>
      <c r="K5" s="32" t="s">
        <v>99</v>
      </c>
      <c r="L5" s="32"/>
      <c r="M5" s="32"/>
      <c r="N5" s="31"/>
      <c r="O5" s="31"/>
      <c r="P5" s="53"/>
      <c r="Q5" s="21" t="str">
        <f>IFERROR(VLOOKUP(September[[#This Row],[Drug Name]],'Data Options'!$R$1:$S$100,2,FALSE), " ")</f>
        <v xml:space="preserve"> </v>
      </c>
      <c r="R5" s="32"/>
      <c r="S5" s="32"/>
      <c r="T5" s="53"/>
      <c r="U5" s="21" t="str">
        <f>IFERROR(VLOOKUP(September[[#This Row],[Drug Name2]],'Data Options'!$R$1:$S$100,2,FALSE), " ")</f>
        <v xml:space="preserve"> </v>
      </c>
      <c r="V5" s="32"/>
      <c r="W5" s="32"/>
      <c r="X5" s="53"/>
      <c r="Y5" s="21" t="str">
        <f>IFERROR(VLOOKUP(September[[#This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21" t="str">
        <f>IFERROR(VLOOKUP(September[[#This Row],[Drug Name4]],'Data Options'!$R$1:$S$100,2,FALSE), " ")</f>
        <v xml:space="preserve"> </v>
      </c>
      <c r="AI5" s="32"/>
      <c r="AJ5" s="32"/>
      <c r="AK5" s="53"/>
      <c r="AL5" s="21" t="str">
        <f>IFERROR(VLOOKUP(September[[#This Row],[Drug Name5]],'Data Options'!$R$1:$S$100,2,FALSE), " ")</f>
        <v xml:space="preserve"> </v>
      </c>
      <c r="AM5" s="32"/>
      <c r="AN5" s="32"/>
      <c r="AO5" s="53"/>
      <c r="AP5" s="21" t="str">
        <f>IFERROR(VLOOKUP(September[[#This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21" t="str">
        <f>IFERROR(VLOOKUP(September[[#This Row],[Drug Name7]],'Data Options'!$R$1:$S$100,2,FALSE), " ")</f>
        <v xml:space="preserve"> </v>
      </c>
      <c r="AZ5" s="32"/>
      <c r="BA5" s="32"/>
      <c r="BB5" s="53"/>
      <c r="BC5" s="21" t="str">
        <f>IFERROR(VLOOKUP(September[[#This Row],[Drug Name8]],'Data Options'!$R$1:$S$100,2,FALSE), " ")</f>
        <v xml:space="preserve"> </v>
      </c>
      <c r="BD5" s="32"/>
      <c r="BE5" s="32"/>
      <c r="BF5" s="53"/>
      <c r="BG5" s="21" t="str">
        <f>IFERROR(VLOOKUP(September[[#This Row],[Drug Name9]],'Data Options'!$R$1:$S$100,2,FALSE), " ")</f>
        <v xml:space="preserve"> </v>
      </c>
      <c r="BH5" s="32"/>
      <c r="BI5" s="32"/>
    </row>
    <row r="6" spans="1:61" ht="31">
      <c r="A6" s="51">
        <v>44077</v>
      </c>
      <c r="B6" s="52" t="s">
        <v>294</v>
      </c>
      <c r="C6" s="32">
        <v>20083</v>
      </c>
      <c r="D6" s="32" t="s">
        <v>13</v>
      </c>
      <c r="E6" s="32" t="s">
        <v>15</v>
      </c>
      <c r="F6" s="32" t="s">
        <v>219</v>
      </c>
      <c r="G6" s="32" t="s">
        <v>20</v>
      </c>
      <c r="H6" s="32"/>
      <c r="I6" s="32" t="s">
        <v>22</v>
      </c>
      <c r="J6" s="32">
        <v>1</v>
      </c>
      <c r="K6" s="32" t="s">
        <v>102</v>
      </c>
      <c r="L6" s="32"/>
      <c r="M6" s="32">
        <v>1</v>
      </c>
      <c r="N6" s="31" t="s">
        <v>23</v>
      </c>
      <c r="O6" s="31" t="s">
        <v>23</v>
      </c>
      <c r="P6" s="53" t="s">
        <v>43</v>
      </c>
      <c r="Q6" s="21" t="str">
        <f>IFERROR(VLOOKUP(September[[#This Row],[Drug Name]],'Data Options'!$R$1:$S$100,2,FALSE), " ")</f>
        <v>Nitroimidazoles</v>
      </c>
      <c r="R6" s="32" t="s">
        <v>92</v>
      </c>
      <c r="S6" s="32" t="s">
        <v>89</v>
      </c>
      <c r="T6" s="53"/>
      <c r="U6" s="21" t="str">
        <f>IFERROR(VLOOKUP(September[[#This Row],[Drug Name2]],'Data Options'!$R$1:$S$100,2,FALSE), " ")</f>
        <v xml:space="preserve"> </v>
      </c>
      <c r="V6" s="32"/>
      <c r="W6" s="32"/>
      <c r="X6" s="53"/>
      <c r="Y6" s="21" t="str">
        <f>IFERROR(VLOOKUP(September[[#This Row],[Drug Name3]],'Data Options'!$R$1:$S$100,2,FALSE), " ")</f>
        <v xml:space="preserve"> </v>
      </c>
      <c r="Z6" s="32"/>
      <c r="AA6" s="32"/>
      <c r="AB6" s="32"/>
      <c r="AC6" s="32"/>
      <c r="AD6" s="32"/>
      <c r="AE6" s="31"/>
      <c r="AF6" s="31"/>
      <c r="AG6" s="53"/>
      <c r="AH6" s="21" t="str">
        <f>IFERROR(VLOOKUP(September[[#This Row],[Drug Name4]],'Data Options'!$R$1:$S$100,2,FALSE), " ")</f>
        <v xml:space="preserve"> </v>
      </c>
      <c r="AI6" s="32"/>
      <c r="AJ6" s="32"/>
      <c r="AK6" s="53"/>
      <c r="AL6" s="21" t="str">
        <f>IFERROR(VLOOKUP(September[[#This Row],[Drug Name5]],'Data Options'!$R$1:$S$100,2,FALSE), " ")</f>
        <v xml:space="preserve"> </v>
      </c>
      <c r="AM6" s="32"/>
      <c r="AN6" s="32"/>
      <c r="AO6" s="53"/>
      <c r="AP6" s="21" t="str">
        <f>IFERROR(VLOOKUP(September[[#This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21" t="str">
        <f>IFERROR(VLOOKUP(September[[#This Row],[Drug Name7]],'Data Options'!$R$1:$S$100,2,FALSE), " ")</f>
        <v xml:space="preserve"> </v>
      </c>
      <c r="AZ6" s="32"/>
      <c r="BA6" s="32"/>
      <c r="BB6" s="53"/>
      <c r="BC6" s="21" t="str">
        <f>IFERROR(VLOOKUP(September[[#This Row],[Drug Name8]],'Data Options'!$R$1:$S$100,2,FALSE), " ")</f>
        <v xml:space="preserve"> </v>
      </c>
      <c r="BD6" s="32"/>
      <c r="BE6" s="32"/>
      <c r="BF6" s="53"/>
      <c r="BG6" s="21" t="str">
        <f>IFERROR(VLOOKUP(September[[#This Row],[Drug Name9]],'Data Options'!$R$1:$S$100,2,FALSE), " ")</f>
        <v xml:space="preserve"> </v>
      </c>
      <c r="BH6" s="32"/>
      <c r="BI6" s="32"/>
    </row>
    <row r="7" spans="1:61">
      <c r="A7" s="51">
        <v>44078</v>
      </c>
      <c r="B7" s="52" t="s">
        <v>294</v>
      </c>
      <c r="C7" s="32">
        <v>20084</v>
      </c>
      <c r="D7" s="32" t="s">
        <v>12</v>
      </c>
      <c r="E7" s="32" t="s">
        <v>17</v>
      </c>
      <c r="F7" s="32" t="s">
        <v>220</v>
      </c>
      <c r="G7" s="32" t="s">
        <v>20</v>
      </c>
      <c r="H7" s="32"/>
      <c r="I7" s="32" t="s">
        <v>23</v>
      </c>
      <c r="J7" s="32">
        <v>0</v>
      </c>
      <c r="K7" s="32" t="s">
        <v>277</v>
      </c>
      <c r="L7" s="32"/>
      <c r="M7" s="32"/>
      <c r="N7" s="31"/>
      <c r="O7" s="31"/>
      <c r="P7" s="53"/>
      <c r="Q7" s="21" t="str">
        <f>IFERROR(VLOOKUP(September[[#This Row],[Drug Name]],'Data Options'!$R$1:$S$100,2,FALSE), " ")</f>
        <v xml:space="preserve"> </v>
      </c>
      <c r="R7" s="32"/>
      <c r="S7" s="32"/>
      <c r="T7" s="53"/>
      <c r="U7" s="21" t="str">
        <f>IFERROR(VLOOKUP(September[[#This Row],[Drug Name2]],'Data Options'!$R$1:$S$100,2,FALSE), " ")</f>
        <v xml:space="preserve"> </v>
      </c>
      <c r="V7" s="32"/>
      <c r="W7" s="32"/>
      <c r="X7" s="53"/>
      <c r="Y7" s="21" t="str">
        <f>IFERROR(VLOOKUP(September[[#This Row],[Drug Name3]],'Data Options'!$R$1:$S$100,2,FALSE), " ")</f>
        <v xml:space="preserve"> </v>
      </c>
      <c r="Z7" s="32"/>
      <c r="AA7" s="32"/>
      <c r="AB7" s="32"/>
      <c r="AC7" s="32"/>
      <c r="AD7" s="32"/>
      <c r="AE7" s="31"/>
      <c r="AF7" s="31"/>
      <c r="AG7" s="53"/>
      <c r="AH7" s="21" t="str">
        <f>IFERROR(VLOOKUP(September[[#This Row],[Drug Name4]],'Data Options'!$R$1:$S$100,2,FALSE), " ")</f>
        <v xml:space="preserve"> </v>
      </c>
      <c r="AI7" s="32"/>
      <c r="AJ7" s="32"/>
      <c r="AK7" s="53"/>
      <c r="AL7" s="21" t="str">
        <f>IFERROR(VLOOKUP(September[[#This Row],[Drug Name5]],'Data Options'!$R$1:$S$100,2,FALSE), " ")</f>
        <v xml:space="preserve"> </v>
      </c>
      <c r="AM7" s="32"/>
      <c r="AN7" s="32"/>
      <c r="AO7" s="53"/>
      <c r="AP7" s="21" t="str">
        <f>IFERROR(VLOOKUP(September[[#This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21" t="str">
        <f>IFERROR(VLOOKUP(September[[#This Row],[Drug Name7]],'Data Options'!$R$1:$S$100,2,FALSE), " ")</f>
        <v xml:space="preserve"> </v>
      </c>
      <c r="AZ7" s="32"/>
      <c r="BA7" s="32"/>
      <c r="BB7" s="53"/>
      <c r="BC7" s="21" t="str">
        <f>IFERROR(VLOOKUP(September[[#This Row],[Drug Name8]],'Data Options'!$R$1:$S$100,2,FALSE), " ")</f>
        <v xml:space="preserve"> </v>
      </c>
      <c r="BD7" s="32"/>
      <c r="BE7" s="32"/>
      <c r="BF7" s="53"/>
      <c r="BG7" s="21" t="str">
        <f>IFERROR(VLOOKUP(September[[#This Row],[Drug Name9]],'Data Options'!$R$1:$S$100,2,FALSE), " ")</f>
        <v xml:space="preserve"> </v>
      </c>
      <c r="BH7" s="32"/>
      <c r="BI7" s="32"/>
    </row>
    <row r="8" spans="1:61">
      <c r="A8" s="51">
        <v>44079</v>
      </c>
      <c r="B8" s="52" t="s">
        <v>294</v>
      </c>
      <c r="C8" s="32">
        <v>20085</v>
      </c>
      <c r="D8" s="32" t="s">
        <v>12</v>
      </c>
      <c r="E8" s="32" t="s">
        <v>15</v>
      </c>
      <c r="F8" s="32" t="s">
        <v>221</v>
      </c>
      <c r="G8" s="32" t="s">
        <v>18</v>
      </c>
      <c r="H8" s="32"/>
      <c r="I8" s="32" t="s">
        <v>23</v>
      </c>
      <c r="J8" s="32">
        <v>0</v>
      </c>
      <c r="K8" s="32" t="s">
        <v>100</v>
      </c>
      <c r="L8" s="32"/>
      <c r="M8" s="32"/>
      <c r="N8" s="31"/>
      <c r="O8" s="31"/>
      <c r="P8" s="53"/>
      <c r="Q8" s="21" t="str">
        <f>IFERROR(VLOOKUP(September[[#This Row],[Drug Name]],'Data Options'!$R$1:$S$100,2,FALSE), " ")</f>
        <v xml:space="preserve"> </v>
      </c>
      <c r="R8" s="32"/>
      <c r="S8" s="32"/>
      <c r="T8" s="53"/>
      <c r="U8" s="21" t="str">
        <f>IFERROR(VLOOKUP(September[[#This Row],[Drug Name2]],'Data Options'!$R$1:$S$100,2,FALSE), " ")</f>
        <v xml:space="preserve"> </v>
      </c>
      <c r="V8" s="32"/>
      <c r="W8" s="32"/>
      <c r="X8" s="53"/>
      <c r="Y8" s="21" t="str">
        <f>IFERROR(VLOOKUP(September[[#This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21" t="str">
        <f>IFERROR(VLOOKUP(September[[#This Row],[Drug Name4]],'Data Options'!$R$1:$S$100,2,FALSE), " ")</f>
        <v xml:space="preserve"> </v>
      </c>
      <c r="AI8" s="32"/>
      <c r="AJ8" s="32"/>
      <c r="AK8" s="53"/>
      <c r="AL8" s="21" t="str">
        <f>IFERROR(VLOOKUP(September[[#This Row],[Drug Name5]],'Data Options'!$R$1:$S$100,2,FALSE), " ")</f>
        <v xml:space="preserve"> </v>
      </c>
      <c r="AM8" s="32"/>
      <c r="AN8" s="32"/>
      <c r="AO8" s="53"/>
      <c r="AP8" s="21" t="str">
        <f>IFERROR(VLOOKUP(September[[#This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21" t="str">
        <f>IFERROR(VLOOKUP(September[[#This Row],[Drug Name7]],'Data Options'!$R$1:$S$100,2,FALSE), " ")</f>
        <v xml:space="preserve"> </v>
      </c>
      <c r="AZ8" s="32"/>
      <c r="BA8" s="32"/>
      <c r="BB8" s="53"/>
      <c r="BC8" s="21" t="str">
        <f>IFERROR(VLOOKUP(September[[#This Row],[Drug Name8]],'Data Options'!$R$1:$S$100,2,FALSE), " ")</f>
        <v xml:space="preserve"> </v>
      </c>
      <c r="BD8" s="32"/>
      <c r="BE8" s="32"/>
      <c r="BF8" s="53"/>
      <c r="BG8" s="21" t="str">
        <f>IFERROR(VLOOKUP(September[[#This Row],[Drug Name9]],'Data Options'!$R$1:$S$100,2,FALSE), " ")</f>
        <v xml:space="preserve"> </v>
      </c>
      <c r="BH8" s="32"/>
      <c r="BI8" s="32"/>
    </row>
    <row r="9" spans="1:61">
      <c r="A9" s="51">
        <v>44080</v>
      </c>
      <c r="B9" s="52" t="s">
        <v>294</v>
      </c>
      <c r="C9" s="32">
        <v>20086</v>
      </c>
      <c r="D9" s="32" t="s">
        <v>13</v>
      </c>
      <c r="E9" s="32" t="s">
        <v>14</v>
      </c>
      <c r="F9" s="32" t="s">
        <v>117</v>
      </c>
      <c r="G9" s="32" t="s">
        <v>149</v>
      </c>
      <c r="H9" s="32"/>
      <c r="I9" s="32" t="s">
        <v>23</v>
      </c>
      <c r="J9" s="32">
        <v>0</v>
      </c>
      <c r="K9" s="32" t="s">
        <v>99</v>
      </c>
      <c r="L9" s="32"/>
      <c r="M9" s="32"/>
      <c r="N9" s="31"/>
      <c r="O9" s="31"/>
      <c r="P9" s="53"/>
      <c r="Q9" s="21" t="str">
        <f>IFERROR(VLOOKUP(September[[#This Row],[Drug Name]],'Data Options'!$R$1:$S$100,2,FALSE), " ")</f>
        <v xml:space="preserve"> </v>
      </c>
      <c r="R9" s="32"/>
      <c r="S9" s="32"/>
      <c r="T9" s="53"/>
      <c r="U9" s="21" t="str">
        <f>IFERROR(VLOOKUP(September[[#This Row],[Drug Name2]],'Data Options'!$R$1:$S$100,2,FALSE), " ")</f>
        <v xml:space="preserve"> </v>
      </c>
      <c r="V9" s="32"/>
      <c r="W9" s="32"/>
      <c r="X9" s="53"/>
      <c r="Y9" s="21" t="str">
        <f>IFERROR(VLOOKUP(September[[#This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21" t="str">
        <f>IFERROR(VLOOKUP(September[[#This Row],[Drug Name4]],'Data Options'!$R$1:$S$100,2,FALSE), " ")</f>
        <v xml:space="preserve"> </v>
      </c>
      <c r="AI9" s="32"/>
      <c r="AJ9" s="32"/>
      <c r="AK9" s="53"/>
      <c r="AL9" s="21" t="str">
        <f>IFERROR(VLOOKUP(September[[#This Row],[Drug Name5]],'Data Options'!$R$1:$S$100,2,FALSE), " ")</f>
        <v xml:space="preserve"> </v>
      </c>
      <c r="AM9" s="32"/>
      <c r="AN9" s="32"/>
      <c r="AO9" s="53"/>
      <c r="AP9" s="21" t="str">
        <f>IFERROR(VLOOKUP(September[[#This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21" t="str">
        <f>IFERROR(VLOOKUP(September[[#This Row],[Drug Name7]],'Data Options'!$R$1:$S$100,2,FALSE), " ")</f>
        <v xml:space="preserve"> </v>
      </c>
      <c r="AZ9" s="32"/>
      <c r="BA9" s="32"/>
      <c r="BB9" s="53"/>
      <c r="BC9" s="21" t="str">
        <f>IFERROR(VLOOKUP(September[[#This Row],[Drug Name8]],'Data Options'!$R$1:$S$100,2,FALSE), " ")</f>
        <v xml:space="preserve"> </v>
      </c>
      <c r="BD9" s="32"/>
      <c r="BE9" s="32"/>
      <c r="BF9" s="53"/>
      <c r="BG9" s="21" t="str">
        <f>IFERROR(VLOOKUP(September[[#This Row],[Drug Name9]],'Data Options'!$R$1:$S$100,2,FALSE), " ")</f>
        <v xml:space="preserve"> </v>
      </c>
      <c r="BH9" s="32"/>
      <c r="BI9" s="32"/>
    </row>
    <row r="10" spans="1:61" ht="77.5">
      <c r="A10" s="51">
        <v>44081</v>
      </c>
      <c r="B10" s="52" t="s">
        <v>294</v>
      </c>
      <c r="C10" s="32">
        <v>20087</v>
      </c>
      <c r="D10" s="32" t="s">
        <v>13</v>
      </c>
      <c r="E10" s="32" t="s">
        <v>16</v>
      </c>
      <c r="F10" s="32" t="s">
        <v>123</v>
      </c>
      <c r="G10" s="32" t="s">
        <v>20</v>
      </c>
      <c r="H10" s="32"/>
      <c r="I10" s="32" t="s">
        <v>22</v>
      </c>
      <c r="J10" s="32">
        <v>2</v>
      </c>
      <c r="K10" s="32" t="s">
        <v>101</v>
      </c>
      <c r="L10" s="32"/>
      <c r="M10" s="32">
        <v>1</v>
      </c>
      <c r="N10" s="31" t="s">
        <v>22</v>
      </c>
      <c r="O10" s="31" t="s">
        <v>22</v>
      </c>
      <c r="P10" s="53" t="s">
        <v>39</v>
      </c>
      <c r="Q10" s="21" t="str">
        <f>IFERROR(VLOOKUP(September[[#This Row],[Drug Name]],'Data Options'!$R$1:$S$100,2,FALSE), " ")</f>
        <v>Tetracyclines</v>
      </c>
      <c r="R10" s="32" t="s">
        <v>92</v>
      </c>
      <c r="S10" s="32" t="s">
        <v>89</v>
      </c>
      <c r="T10" s="53"/>
      <c r="U10" s="21" t="str">
        <f>IFERROR(VLOOKUP(September[[#This Row],[Drug Name2]],'Data Options'!$R$1:$S$100,2,FALSE), " ")</f>
        <v xml:space="preserve"> </v>
      </c>
      <c r="V10" s="32"/>
      <c r="W10" s="32"/>
      <c r="X10" s="53"/>
      <c r="Y10" s="21" t="str">
        <f>IFERROR(VLOOKUP(September[[#This Row],[Drug Name3]],'Data Options'!$R$1:$S$100,2,FALSE), " ")</f>
        <v xml:space="preserve"> </v>
      </c>
      <c r="Z10" s="32"/>
      <c r="AA10" s="32"/>
      <c r="AB10" s="32" t="s">
        <v>291</v>
      </c>
      <c r="AC10" s="32"/>
      <c r="AD10" s="32">
        <v>1</v>
      </c>
      <c r="AE10" s="31" t="s">
        <v>22</v>
      </c>
      <c r="AF10" s="31" t="s">
        <v>22</v>
      </c>
      <c r="AG10" s="53" t="s">
        <v>309</v>
      </c>
      <c r="AH10" s="21" t="str">
        <f>IFERROR(VLOOKUP(September[[#This Row],[Drug Name4]],'Data Options'!$R$1:$S$100,2,FALSE), " ")</f>
        <v>Otic</v>
      </c>
      <c r="AI10" s="32" t="s">
        <v>88</v>
      </c>
      <c r="AJ10" s="32" t="s">
        <v>98</v>
      </c>
      <c r="AK10" s="53"/>
      <c r="AL10" s="21" t="str">
        <f>IFERROR(VLOOKUP(September[[#This Row],[Drug Name5]],'Data Options'!$R$1:$S$100,2,FALSE), " ")</f>
        <v xml:space="preserve"> </v>
      </c>
      <c r="AM10" s="32"/>
      <c r="AN10" s="32"/>
      <c r="AO10" s="53"/>
      <c r="AP10" s="21" t="str">
        <f>IFERROR(VLOOKUP(September[[#This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21" t="str">
        <f>IFERROR(VLOOKUP(September[[#This Row],[Drug Name7]],'Data Options'!$R$1:$S$100,2,FALSE), " ")</f>
        <v xml:space="preserve"> </v>
      </c>
      <c r="AZ10" s="32"/>
      <c r="BA10" s="32"/>
      <c r="BB10" s="53"/>
      <c r="BC10" s="21" t="str">
        <f>IFERROR(VLOOKUP(September[[#This Row],[Drug Name8]],'Data Options'!$R$1:$S$100,2,FALSE), " ")</f>
        <v xml:space="preserve"> </v>
      </c>
      <c r="BD10" s="32"/>
      <c r="BE10" s="32"/>
      <c r="BF10" s="53"/>
      <c r="BG10" s="21" t="str">
        <f>IFERROR(VLOOKUP(September[[#This Row],[Drug Name9]],'Data Options'!$R$1:$S$100,2,FALSE), " ")</f>
        <v xml:space="preserve"> </v>
      </c>
      <c r="BH10" s="32"/>
      <c r="BI10" s="32"/>
    </row>
    <row r="11" spans="1:61">
      <c r="A11" s="51">
        <v>44082</v>
      </c>
      <c r="B11" s="52" t="s">
        <v>294</v>
      </c>
      <c r="C11" s="32">
        <v>20088</v>
      </c>
      <c r="D11" s="32" t="s">
        <v>13</v>
      </c>
      <c r="E11" s="32" t="s">
        <v>17</v>
      </c>
      <c r="F11" s="32" t="s">
        <v>123</v>
      </c>
      <c r="G11" s="32" t="s">
        <v>18</v>
      </c>
      <c r="H11" s="32"/>
      <c r="I11" s="32" t="s">
        <v>23</v>
      </c>
      <c r="J11" s="32">
        <v>0</v>
      </c>
      <c r="K11" s="32" t="s">
        <v>100</v>
      </c>
      <c r="L11" s="32"/>
      <c r="M11" s="32"/>
      <c r="N11" s="31"/>
      <c r="O11" s="31"/>
      <c r="P11" s="53"/>
      <c r="Q11" s="21" t="str">
        <f>IFERROR(VLOOKUP(September[[#This Row],[Drug Name]],'Data Options'!$R$1:$S$100,2,FALSE), " ")</f>
        <v xml:space="preserve"> </v>
      </c>
      <c r="R11" s="32"/>
      <c r="S11" s="32"/>
      <c r="T11" s="53"/>
      <c r="U11" s="21" t="str">
        <f>IFERROR(VLOOKUP(September[[#This Row],[Drug Name2]],'Data Options'!$R$1:$S$100,2,FALSE), " ")</f>
        <v xml:space="preserve"> </v>
      </c>
      <c r="V11" s="32"/>
      <c r="W11" s="32"/>
      <c r="X11" s="53"/>
      <c r="Y11" s="21" t="str">
        <f>IFERROR(VLOOKUP(September[[#This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21" t="str">
        <f>IFERROR(VLOOKUP(September[[#This Row],[Drug Name4]],'Data Options'!$R$1:$S$100,2,FALSE), " ")</f>
        <v xml:space="preserve"> </v>
      </c>
      <c r="AI11" s="32"/>
      <c r="AJ11" s="32"/>
      <c r="AK11" s="53"/>
      <c r="AL11" s="21" t="str">
        <f>IFERROR(VLOOKUP(September[[#This Row],[Drug Name5]],'Data Options'!$R$1:$S$100,2,FALSE), " ")</f>
        <v xml:space="preserve"> </v>
      </c>
      <c r="AM11" s="32"/>
      <c r="AN11" s="32"/>
      <c r="AO11" s="53"/>
      <c r="AP11" s="21" t="str">
        <f>IFERROR(VLOOKUP(September[[#This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21" t="str">
        <f>IFERROR(VLOOKUP(September[[#This Row],[Drug Name7]],'Data Options'!$R$1:$S$100,2,FALSE), " ")</f>
        <v xml:space="preserve"> </v>
      </c>
      <c r="AZ11" s="32"/>
      <c r="BA11" s="32"/>
      <c r="BB11" s="53"/>
      <c r="BC11" s="21" t="str">
        <f>IFERROR(VLOOKUP(September[[#This Row],[Drug Name8]],'Data Options'!$R$1:$S$100,2,FALSE), " ")</f>
        <v xml:space="preserve"> </v>
      </c>
      <c r="BD11" s="32"/>
      <c r="BE11" s="32"/>
      <c r="BF11" s="53"/>
      <c r="BG11" s="21" t="str">
        <f>IFERROR(VLOOKUP(September[[#This Row],[Drug Name9]],'Data Options'!$R$1:$S$100,2,FALSE), " ")</f>
        <v xml:space="preserve"> </v>
      </c>
      <c r="BH11" s="32"/>
      <c r="BI11" s="32"/>
    </row>
    <row r="12" spans="1:61">
      <c r="A12" s="51">
        <v>44083</v>
      </c>
      <c r="B12" s="52" t="s">
        <v>294</v>
      </c>
      <c r="C12" s="32">
        <v>20089</v>
      </c>
      <c r="D12" s="32" t="s">
        <v>12</v>
      </c>
      <c r="E12" s="32" t="s">
        <v>15</v>
      </c>
      <c r="F12" s="32" t="s">
        <v>221</v>
      </c>
      <c r="G12" s="32" t="s">
        <v>18</v>
      </c>
      <c r="H12" s="32"/>
      <c r="I12" s="32" t="s">
        <v>23</v>
      </c>
      <c r="J12" s="32">
        <v>0</v>
      </c>
      <c r="K12" s="32" t="s">
        <v>100</v>
      </c>
      <c r="L12" s="32"/>
      <c r="M12" s="32"/>
      <c r="N12" s="31"/>
      <c r="O12" s="31"/>
      <c r="P12" s="53"/>
      <c r="Q12" s="21" t="str">
        <f>IFERROR(VLOOKUP(September[[#This Row],[Drug Name]],'Data Options'!$R$1:$S$100,2,FALSE), " ")</f>
        <v xml:space="preserve"> </v>
      </c>
      <c r="R12" s="32"/>
      <c r="S12" s="32"/>
      <c r="T12" s="53"/>
      <c r="U12" s="21" t="str">
        <f>IFERROR(VLOOKUP(September[[#This Row],[Drug Name2]],'Data Options'!$R$1:$S$100,2,FALSE), " ")</f>
        <v xml:space="preserve"> </v>
      </c>
      <c r="V12" s="32"/>
      <c r="W12" s="32"/>
      <c r="X12" s="53"/>
      <c r="Y12" s="21" t="str">
        <f>IFERROR(VLOOKUP(September[[#This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21" t="str">
        <f>IFERROR(VLOOKUP(September[[#This Row],[Drug Name4]],'Data Options'!$R$1:$S$100,2,FALSE), " ")</f>
        <v xml:space="preserve"> </v>
      </c>
      <c r="AI12" s="32"/>
      <c r="AJ12" s="32"/>
      <c r="AK12" s="53"/>
      <c r="AL12" s="21" t="str">
        <f>IFERROR(VLOOKUP(September[[#This Row],[Drug Name5]],'Data Options'!$R$1:$S$100,2,FALSE), " ")</f>
        <v xml:space="preserve"> </v>
      </c>
      <c r="AM12" s="32"/>
      <c r="AN12" s="32"/>
      <c r="AO12" s="53"/>
      <c r="AP12" s="21" t="str">
        <f>IFERROR(VLOOKUP(September[[#This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21" t="str">
        <f>IFERROR(VLOOKUP(September[[#This Row],[Drug Name7]],'Data Options'!$R$1:$S$100,2,FALSE), " ")</f>
        <v xml:space="preserve"> </v>
      </c>
      <c r="AZ12" s="32"/>
      <c r="BA12" s="32"/>
      <c r="BB12" s="53"/>
      <c r="BC12" s="21" t="str">
        <f>IFERROR(VLOOKUP(September[[#This Row],[Drug Name8]],'Data Options'!$R$1:$S$100,2,FALSE), " ")</f>
        <v xml:space="preserve"> </v>
      </c>
      <c r="BD12" s="32"/>
      <c r="BE12" s="32"/>
      <c r="BF12" s="53"/>
      <c r="BG12" s="21" t="str">
        <f>IFERROR(VLOOKUP(September[[#This Row],[Drug Name9]],'Data Options'!$R$1:$S$100,2,FALSE), " ")</f>
        <v xml:space="preserve"> </v>
      </c>
      <c r="BH12" s="32"/>
      <c r="BI12" s="32"/>
    </row>
    <row r="13" spans="1:61">
      <c r="A13" s="51">
        <v>44084</v>
      </c>
      <c r="B13" s="52" t="s">
        <v>294</v>
      </c>
      <c r="C13" s="32">
        <v>20090</v>
      </c>
      <c r="D13" s="32" t="s">
        <v>12</v>
      </c>
      <c r="E13" s="32" t="s">
        <v>15</v>
      </c>
      <c r="F13" s="32" t="s">
        <v>218</v>
      </c>
      <c r="G13" s="32" t="s">
        <v>20</v>
      </c>
      <c r="H13" s="32"/>
      <c r="I13" s="32" t="s">
        <v>23</v>
      </c>
      <c r="J13" s="32">
        <v>0</v>
      </c>
      <c r="K13" s="32" t="s">
        <v>86</v>
      </c>
      <c r="L13" s="32"/>
      <c r="M13" s="32"/>
      <c r="N13" s="31"/>
      <c r="O13" s="31"/>
      <c r="P13" s="53"/>
      <c r="Q13" s="21" t="str">
        <f>IFERROR(VLOOKUP(September[[#This Row],[Drug Name]],'Data Options'!$R$1:$S$100,2,FALSE), " ")</f>
        <v xml:space="preserve"> </v>
      </c>
      <c r="R13" s="32"/>
      <c r="S13" s="32"/>
      <c r="T13" s="53"/>
      <c r="U13" s="21" t="str">
        <f>IFERROR(VLOOKUP(September[[#This Row],[Drug Name2]],'Data Options'!$R$1:$S$100,2,FALSE), " ")</f>
        <v xml:space="preserve"> </v>
      </c>
      <c r="V13" s="32"/>
      <c r="W13" s="32"/>
      <c r="X13" s="53"/>
      <c r="Y13" s="21" t="str">
        <f>IFERROR(VLOOKUP(September[[#This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21" t="str">
        <f>IFERROR(VLOOKUP(September[[#This Row],[Drug Name4]],'Data Options'!$R$1:$S$100,2,FALSE), " ")</f>
        <v xml:space="preserve"> </v>
      </c>
      <c r="AI13" s="32"/>
      <c r="AJ13" s="32"/>
      <c r="AK13" s="53"/>
      <c r="AL13" s="21" t="str">
        <f>IFERROR(VLOOKUP(September[[#This Row],[Drug Name5]],'Data Options'!$R$1:$S$100,2,FALSE), " ")</f>
        <v xml:space="preserve"> </v>
      </c>
      <c r="AM13" s="32"/>
      <c r="AN13" s="32"/>
      <c r="AO13" s="53"/>
      <c r="AP13" s="21" t="str">
        <f>IFERROR(VLOOKUP(September[[#This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21" t="str">
        <f>IFERROR(VLOOKUP(September[[#This Row],[Drug Name7]],'Data Options'!$R$1:$S$100,2,FALSE), " ")</f>
        <v xml:space="preserve"> </v>
      </c>
      <c r="AZ13" s="32"/>
      <c r="BA13" s="32"/>
      <c r="BB13" s="53"/>
      <c r="BC13" s="21" t="str">
        <f>IFERROR(VLOOKUP(September[[#This Row],[Drug Name8]],'Data Options'!$R$1:$S$100,2,FALSE), " ")</f>
        <v xml:space="preserve"> </v>
      </c>
      <c r="BD13" s="32"/>
      <c r="BE13" s="32"/>
      <c r="BF13" s="53"/>
      <c r="BG13" s="21" t="str">
        <f>IFERROR(VLOOKUP(September[[#This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21" t="str">
        <f>IFERROR(VLOOKUP(September[[#This Row],[Drug Name]],'Data Options'!$R$1:$S$100,2,FALSE), " ")</f>
        <v xml:space="preserve"> </v>
      </c>
      <c r="R14" s="32"/>
      <c r="S14" s="32"/>
      <c r="T14" s="53"/>
      <c r="U14" s="21" t="str">
        <f>IFERROR(VLOOKUP(September[[#This Row],[Drug Name2]],'Data Options'!$R$1:$S$100,2,FALSE), " ")</f>
        <v xml:space="preserve"> </v>
      </c>
      <c r="V14" s="32"/>
      <c r="W14" s="32"/>
      <c r="X14" s="53"/>
      <c r="Y14" s="21" t="str">
        <f>IFERROR(VLOOKUP(September[[#This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21" t="str">
        <f>IFERROR(VLOOKUP(September[[#This Row],[Drug Name4]],'Data Options'!$R$1:$S$100,2,FALSE), " ")</f>
        <v xml:space="preserve"> </v>
      </c>
      <c r="AI14" s="32"/>
      <c r="AJ14" s="32"/>
      <c r="AK14" s="53"/>
      <c r="AL14" s="21" t="str">
        <f>IFERROR(VLOOKUP(September[[#This Row],[Drug Name5]],'Data Options'!$R$1:$S$100,2,FALSE), " ")</f>
        <v xml:space="preserve"> </v>
      </c>
      <c r="AM14" s="32"/>
      <c r="AN14" s="32"/>
      <c r="AO14" s="53"/>
      <c r="AP14" s="21" t="str">
        <f>IFERROR(VLOOKUP(September[[#This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21" t="str">
        <f>IFERROR(VLOOKUP(September[[#This Row],[Drug Name7]],'Data Options'!$R$1:$S$100,2,FALSE), " ")</f>
        <v xml:space="preserve"> </v>
      </c>
      <c r="AZ14" s="32"/>
      <c r="BA14" s="32"/>
      <c r="BB14" s="53"/>
      <c r="BC14" s="21" t="str">
        <f>IFERROR(VLOOKUP(September[[#This Row],[Drug Name8]],'Data Options'!$R$1:$S$100,2,FALSE), " ")</f>
        <v xml:space="preserve"> </v>
      </c>
      <c r="BD14" s="32"/>
      <c r="BE14" s="32"/>
      <c r="BF14" s="53"/>
      <c r="BG14" s="21" t="str">
        <f>IFERROR(VLOOKUP(September[[#This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21" t="str">
        <f>IFERROR(VLOOKUP(September[[#This Row],[Drug Name]],'Data Options'!$R$1:$S$100,2,FALSE), " ")</f>
        <v xml:space="preserve"> </v>
      </c>
      <c r="R15" s="32"/>
      <c r="S15" s="32"/>
      <c r="T15" s="53"/>
      <c r="U15" s="21" t="str">
        <f>IFERROR(VLOOKUP(September[[#This Row],[Drug Name2]],'Data Options'!$R$1:$S$100,2,FALSE), " ")</f>
        <v xml:space="preserve"> </v>
      </c>
      <c r="V15" s="32"/>
      <c r="W15" s="32"/>
      <c r="X15" s="53"/>
      <c r="Y15" s="21" t="str">
        <f>IFERROR(VLOOKUP(September[[#This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21" t="str">
        <f>IFERROR(VLOOKUP(September[[#This Row],[Drug Name4]],'Data Options'!$R$1:$S$100,2,FALSE), " ")</f>
        <v xml:space="preserve"> </v>
      </c>
      <c r="AI15" s="32"/>
      <c r="AJ15" s="32"/>
      <c r="AK15" s="53"/>
      <c r="AL15" s="21" t="str">
        <f>IFERROR(VLOOKUP(September[[#This Row],[Drug Name5]],'Data Options'!$R$1:$S$100,2,FALSE), " ")</f>
        <v xml:space="preserve"> </v>
      </c>
      <c r="AM15" s="32"/>
      <c r="AN15" s="32"/>
      <c r="AO15" s="53"/>
      <c r="AP15" s="21" t="str">
        <f>IFERROR(VLOOKUP(September[[#This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21" t="str">
        <f>IFERROR(VLOOKUP(September[[#This Row],[Drug Name7]],'Data Options'!$R$1:$S$100,2,FALSE), " ")</f>
        <v xml:space="preserve"> </v>
      </c>
      <c r="AZ15" s="32"/>
      <c r="BA15" s="32"/>
      <c r="BB15" s="53"/>
      <c r="BC15" s="21" t="str">
        <f>IFERROR(VLOOKUP(September[[#This Row],[Drug Name8]],'Data Options'!$R$1:$S$100,2,FALSE), " ")</f>
        <v xml:space="preserve"> </v>
      </c>
      <c r="BD15" s="32"/>
      <c r="BE15" s="32"/>
      <c r="BF15" s="53"/>
      <c r="BG15" s="21" t="str">
        <f>IFERROR(VLOOKUP(September[[#This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21" t="str">
        <f>IFERROR(VLOOKUP(September[[#This Row],[Drug Name]],'Data Options'!$R$1:$S$100,2,FALSE), " ")</f>
        <v xml:space="preserve"> </v>
      </c>
      <c r="R16" s="32"/>
      <c r="S16" s="32"/>
      <c r="T16" s="53"/>
      <c r="U16" s="21" t="str">
        <f>IFERROR(VLOOKUP(September[[#This Row],[Drug Name2]],'Data Options'!$R$1:$S$100,2,FALSE), " ")</f>
        <v xml:space="preserve"> </v>
      </c>
      <c r="V16" s="32"/>
      <c r="W16" s="32"/>
      <c r="X16" s="53"/>
      <c r="Y16" s="21" t="str">
        <f>IFERROR(VLOOKUP(September[[#This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21" t="str">
        <f>IFERROR(VLOOKUP(September[[#This Row],[Drug Name4]],'Data Options'!$R$1:$S$100,2,FALSE), " ")</f>
        <v xml:space="preserve"> </v>
      </c>
      <c r="AI16" s="32"/>
      <c r="AJ16" s="32"/>
      <c r="AK16" s="53"/>
      <c r="AL16" s="21" t="str">
        <f>IFERROR(VLOOKUP(September[[#This Row],[Drug Name5]],'Data Options'!$R$1:$S$100,2,FALSE), " ")</f>
        <v xml:space="preserve"> </v>
      </c>
      <c r="AM16" s="32"/>
      <c r="AN16" s="32"/>
      <c r="AO16" s="53"/>
      <c r="AP16" s="21" t="str">
        <f>IFERROR(VLOOKUP(September[[#This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21" t="str">
        <f>IFERROR(VLOOKUP(September[[#This Row],[Drug Name7]],'Data Options'!$R$1:$S$100,2,FALSE), " ")</f>
        <v xml:space="preserve"> </v>
      </c>
      <c r="AZ16" s="32"/>
      <c r="BA16" s="32"/>
      <c r="BB16" s="53"/>
      <c r="BC16" s="21" t="str">
        <f>IFERROR(VLOOKUP(September[[#This Row],[Drug Name8]],'Data Options'!$R$1:$S$100,2,FALSE), " ")</f>
        <v xml:space="preserve"> </v>
      </c>
      <c r="BD16" s="32"/>
      <c r="BE16" s="32"/>
      <c r="BF16" s="53"/>
      <c r="BG16" s="21" t="str">
        <f>IFERROR(VLOOKUP(September[[#This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21" t="str">
        <f>IFERROR(VLOOKUP(September[[#This Row],[Drug Name]],'Data Options'!$R$1:$S$100,2,FALSE), " ")</f>
        <v xml:space="preserve"> </v>
      </c>
      <c r="R17" s="32"/>
      <c r="S17" s="32"/>
      <c r="T17" s="53"/>
      <c r="U17" s="21" t="str">
        <f>IFERROR(VLOOKUP(September[[#This Row],[Drug Name2]],'Data Options'!$R$1:$S$100,2,FALSE), " ")</f>
        <v xml:space="preserve"> </v>
      </c>
      <c r="V17" s="32"/>
      <c r="W17" s="32"/>
      <c r="X17" s="53"/>
      <c r="Y17" s="21" t="str">
        <f>IFERROR(VLOOKUP(September[[#This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21" t="str">
        <f>IFERROR(VLOOKUP(September[[#This Row],[Drug Name4]],'Data Options'!$R$1:$S$100,2,FALSE), " ")</f>
        <v xml:space="preserve"> </v>
      </c>
      <c r="AI17" s="32"/>
      <c r="AJ17" s="32"/>
      <c r="AK17" s="53"/>
      <c r="AL17" s="21" t="str">
        <f>IFERROR(VLOOKUP(September[[#This Row],[Drug Name5]],'Data Options'!$R$1:$S$100,2,FALSE), " ")</f>
        <v xml:space="preserve"> </v>
      </c>
      <c r="AM17" s="32"/>
      <c r="AN17" s="32"/>
      <c r="AO17" s="53"/>
      <c r="AP17" s="21" t="str">
        <f>IFERROR(VLOOKUP(September[[#This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21" t="str">
        <f>IFERROR(VLOOKUP(September[[#This Row],[Drug Name7]],'Data Options'!$R$1:$S$100,2,FALSE), " ")</f>
        <v xml:space="preserve"> </v>
      </c>
      <c r="AZ17" s="32"/>
      <c r="BA17" s="32"/>
      <c r="BB17" s="53"/>
      <c r="BC17" s="21" t="str">
        <f>IFERROR(VLOOKUP(September[[#This Row],[Drug Name8]],'Data Options'!$R$1:$S$100,2,FALSE), " ")</f>
        <v xml:space="preserve"> </v>
      </c>
      <c r="BD17" s="32"/>
      <c r="BE17" s="32"/>
      <c r="BF17" s="53"/>
      <c r="BG17" s="21" t="str">
        <f>IFERROR(VLOOKUP(September[[#This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21" t="str">
        <f>IFERROR(VLOOKUP(September[[#This Row],[Drug Name]],'Data Options'!$R$1:$S$100,2,FALSE), " ")</f>
        <v xml:space="preserve"> </v>
      </c>
      <c r="R18" s="32"/>
      <c r="S18" s="32"/>
      <c r="T18" s="53"/>
      <c r="U18" s="21" t="str">
        <f>IFERROR(VLOOKUP(September[[#This Row],[Drug Name2]],'Data Options'!$R$1:$S$100,2,FALSE), " ")</f>
        <v xml:space="preserve"> </v>
      </c>
      <c r="V18" s="32"/>
      <c r="W18" s="32"/>
      <c r="X18" s="53"/>
      <c r="Y18" s="21" t="str">
        <f>IFERROR(VLOOKUP(September[[#This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21" t="str">
        <f>IFERROR(VLOOKUP(September[[#This Row],[Drug Name4]],'Data Options'!$R$1:$S$100,2,FALSE), " ")</f>
        <v xml:space="preserve"> </v>
      </c>
      <c r="AI18" s="32"/>
      <c r="AJ18" s="32"/>
      <c r="AK18" s="53"/>
      <c r="AL18" s="21" t="str">
        <f>IFERROR(VLOOKUP(September[[#This Row],[Drug Name5]],'Data Options'!$R$1:$S$100,2,FALSE), " ")</f>
        <v xml:space="preserve"> </v>
      </c>
      <c r="AM18" s="32"/>
      <c r="AN18" s="32"/>
      <c r="AO18" s="53"/>
      <c r="AP18" s="21" t="str">
        <f>IFERROR(VLOOKUP(September[[#This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21" t="str">
        <f>IFERROR(VLOOKUP(September[[#This Row],[Drug Name7]],'Data Options'!$R$1:$S$100,2,FALSE), " ")</f>
        <v xml:space="preserve"> </v>
      </c>
      <c r="AZ18" s="32"/>
      <c r="BA18" s="32"/>
      <c r="BB18" s="53"/>
      <c r="BC18" s="21" t="str">
        <f>IFERROR(VLOOKUP(September[[#This Row],[Drug Name8]],'Data Options'!$R$1:$S$100,2,FALSE), " ")</f>
        <v xml:space="preserve"> </v>
      </c>
      <c r="BD18" s="32"/>
      <c r="BE18" s="32"/>
      <c r="BF18" s="53"/>
      <c r="BG18" s="21" t="str">
        <f>IFERROR(VLOOKUP(September[[#This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21" t="str">
        <f>IFERROR(VLOOKUP(September[[#This Row],[Drug Name]],'Data Options'!$R$1:$S$100,2,FALSE), " ")</f>
        <v xml:space="preserve"> </v>
      </c>
      <c r="R19" s="32"/>
      <c r="S19" s="32"/>
      <c r="T19" s="53"/>
      <c r="U19" s="21" t="str">
        <f>IFERROR(VLOOKUP(September[[#This Row],[Drug Name2]],'Data Options'!$R$1:$S$100,2,FALSE), " ")</f>
        <v xml:space="preserve"> </v>
      </c>
      <c r="V19" s="32"/>
      <c r="W19" s="32"/>
      <c r="X19" s="53"/>
      <c r="Y19" s="21" t="str">
        <f>IFERROR(VLOOKUP(September[[#This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21" t="str">
        <f>IFERROR(VLOOKUP(September[[#This Row],[Drug Name4]],'Data Options'!$R$1:$S$100,2,FALSE), " ")</f>
        <v xml:space="preserve"> </v>
      </c>
      <c r="AI19" s="32"/>
      <c r="AJ19" s="32"/>
      <c r="AK19" s="53"/>
      <c r="AL19" s="21" t="str">
        <f>IFERROR(VLOOKUP(September[[#This Row],[Drug Name5]],'Data Options'!$R$1:$S$100,2,FALSE), " ")</f>
        <v xml:space="preserve"> </v>
      </c>
      <c r="AM19" s="32"/>
      <c r="AN19" s="32"/>
      <c r="AO19" s="53"/>
      <c r="AP19" s="21" t="str">
        <f>IFERROR(VLOOKUP(September[[#This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21" t="str">
        <f>IFERROR(VLOOKUP(September[[#This Row],[Drug Name7]],'Data Options'!$R$1:$S$100,2,FALSE), " ")</f>
        <v xml:space="preserve"> </v>
      </c>
      <c r="AZ19" s="32"/>
      <c r="BA19" s="32"/>
      <c r="BB19" s="53"/>
      <c r="BC19" s="21" t="str">
        <f>IFERROR(VLOOKUP(September[[#This Row],[Drug Name8]],'Data Options'!$R$1:$S$100,2,FALSE), " ")</f>
        <v xml:space="preserve"> </v>
      </c>
      <c r="BD19" s="32"/>
      <c r="BE19" s="32"/>
      <c r="BF19" s="53"/>
      <c r="BG19" s="21" t="str">
        <f>IFERROR(VLOOKUP(September[[#This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21" t="str">
        <f>IFERROR(VLOOKUP(September[[#This Row],[Drug Name]],'Data Options'!$R$1:$S$100,2,FALSE), " ")</f>
        <v xml:space="preserve"> </v>
      </c>
      <c r="R20" s="32"/>
      <c r="S20" s="32"/>
      <c r="T20" s="53"/>
      <c r="U20" s="21" t="str">
        <f>IFERROR(VLOOKUP(September[[#This Row],[Drug Name2]],'Data Options'!$R$1:$S$100,2,FALSE), " ")</f>
        <v xml:space="preserve"> </v>
      </c>
      <c r="V20" s="32"/>
      <c r="W20" s="32"/>
      <c r="X20" s="53"/>
      <c r="Y20" s="21" t="str">
        <f>IFERROR(VLOOKUP(September[[#This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21" t="str">
        <f>IFERROR(VLOOKUP(September[[#This Row],[Drug Name4]],'Data Options'!$R$1:$S$100,2,FALSE), " ")</f>
        <v xml:space="preserve"> </v>
      </c>
      <c r="AI20" s="32"/>
      <c r="AJ20" s="32"/>
      <c r="AK20" s="53"/>
      <c r="AL20" s="21" t="str">
        <f>IFERROR(VLOOKUP(September[[#This Row],[Drug Name5]],'Data Options'!$R$1:$S$100,2,FALSE), " ")</f>
        <v xml:space="preserve"> </v>
      </c>
      <c r="AM20" s="32"/>
      <c r="AN20" s="32"/>
      <c r="AO20" s="53"/>
      <c r="AP20" s="21" t="str">
        <f>IFERROR(VLOOKUP(September[[#This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21" t="str">
        <f>IFERROR(VLOOKUP(September[[#This Row],[Drug Name7]],'Data Options'!$R$1:$S$100,2,FALSE), " ")</f>
        <v xml:space="preserve"> </v>
      </c>
      <c r="AZ20" s="32"/>
      <c r="BA20" s="32"/>
      <c r="BB20" s="53"/>
      <c r="BC20" s="21" t="str">
        <f>IFERROR(VLOOKUP(September[[#This Row],[Drug Name8]],'Data Options'!$R$1:$S$100,2,FALSE), " ")</f>
        <v xml:space="preserve"> </v>
      </c>
      <c r="BD20" s="32"/>
      <c r="BE20" s="32"/>
      <c r="BF20" s="53"/>
      <c r="BG20" s="21" t="str">
        <f>IFERROR(VLOOKUP(September[[#This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21" t="str">
        <f>IFERROR(VLOOKUP(September[[#This Row],[Drug Name]],'Data Options'!$R$1:$S$100,2,FALSE), " ")</f>
        <v xml:space="preserve"> </v>
      </c>
      <c r="R21" s="32"/>
      <c r="S21" s="32"/>
      <c r="T21" s="53"/>
      <c r="U21" s="21" t="str">
        <f>IFERROR(VLOOKUP(September[[#This Row],[Drug Name2]],'Data Options'!$R$1:$S$100,2,FALSE), " ")</f>
        <v xml:space="preserve"> </v>
      </c>
      <c r="V21" s="32"/>
      <c r="W21" s="32"/>
      <c r="X21" s="53"/>
      <c r="Y21" s="21" t="str">
        <f>IFERROR(VLOOKUP(September[[#This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21" t="str">
        <f>IFERROR(VLOOKUP(September[[#This Row],[Drug Name4]],'Data Options'!$R$1:$S$100,2,FALSE), " ")</f>
        <v xml:space="preserve"> </v>
      </c>
      <c r="AI21" s="32"/>
      <c r="AJ21" s="32"/>
      <c r="AK21" s="53"/>
      <c r="AL21" s="21" t="str">
        <f>IFERROR(VLOOKUP(September[[#This Row],[Drug Name5]],'Data Options'!$R$1:$S$100,2,FALSE), " ")</f>
        <v xml:space="preserve"> </v>
      </c>
      <c r="AM21" s="32"/>
      <c r="AN21" s="32"/>
      <c r="AO21" s="53"/>
      <c r="AP21" s="21" t="str">
        <f>IFERROR(VLOOKUP(September[[#This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21" t="str">
        <f>IFERROR(VLOOKUP(September[[#This Row],[Drug Name7]],'Data Options'!$R$1:$S$100,2,FALSE), " ")</f>
        <v xml:space="preserve"> </v>
      </c>
      <c r="AZ21" s="32"/>
      <c r="BA21" s="32"/>
      <c r="BB21" s="53"/>
      <c r="BC21" s="21" t="str">
        <f>IFERROR(VLOOKUP(September[[#This Row],[Drug Name8]],'Data Options'!$R$1:$S$100,2,FALSE), " ")</f>
        <v xml:space="preserve"> </v>
      </c>
      <c r="BD21" s="32"/>
      <c r="BE21" s="32"/>
      <c r="BF21" s="53"/>
      <c r="BG21" s="21" t="str">
        <f>IFERROR(VLOOKUP(September[[#This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21" t="str">
        <f>IFERROR(VLOOKUP(September[[#This Row],[Drug Name]],'Data Options'!$R$1:$S$100,2,FALSE), " ")</f>
        <v xml:space="preserve"> </v>
      </c>
      <c r="R22" s="32"/>
      <c r="S22" s="32"/>
      <c r="T22" s="53"/>
      <c r="U22" s="21" t="str">
        <f>IFERROR(VLOOKUP(September[[#This Row],[Drug Name2]],'Data Options'!$R$1:$S$100,2,FALSE), " ")</f>
        <v xml:space="preserve"> </v>
      </c>
      <c r="V22" s="32"/>
      <c r="W22" s="32"/>
      <c r="X22" s="53"/>
      <c r="Y22" s="21" t="str">
        <f>IFERROR(VLOOKUP(September[[#This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21" t="str">
        <f>IFERROR(VLOOKUP(September[[#This Row],[Drug Name4]],'Data Options'!$R$1:$S$100,2,FALSE), " ")</f>
        <v xml:space="preserve"> </v>
      </c>
      <c r="AI22" s="32"/>
      <c r="AJ22" s="32"/>
      <c r="AK22" s="53"/>
      <c r="AL22" s="21" t="str">
        <f>IFERROR(VLOOKUP(September[[#This Row],[Drug Name5]],'Data Options'!$R$1:$S$100,2,FALSE), " ")</f>
        <v xml:space="preserve"> </v>
      </c>
      <c r="AM22" s="32"/>
      <c r="AN22" s="32"/>
      <c r="AO22" s="53"/>
      <c r="AP22" s="21" t="str">
        <f>IFERROR(VLOOKUP(September[[#This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21" t="str">
        <f>IFERROR(VLOOKUP(September[[#This Row],[Drug Name7]],'Data Options'!$R$1:$S$100,2,FALSE), " ")</f>
        <v xml:space="preserve"> </v>
      </c>
      <c r="AZ22" s="32"/>
      <c r="BA22" s="32"/>
      <c r="BB22" s="53"/>
      <c r="BC22" s="21" t="str">
        <f>IFERROR(VLOOKUP(September[[#This Row],[Drug Name8]],'Data Options'!$R$1:$S$100,2,FALSE), " ")</f>
        <v xml:space="preserve"> </v>
      </c>
      <c r="BD22" s="32"/>
      <c r="BE22" s="32"/>
      <c r="BF22" s="53"/>
      <c r="BG22" s="21" t="str">
        <f>IFERROR(VLOOKUP(September[[#This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21" t="str">
        <f>IFERROR(VLOOKUP(September[[#This Row],[Drug Name]],'Data Options'!$R$1:$S$100,2,FALSE), " ")</f>
        <v xml:space="preserve"> </v>
      </c>
      <c r="R23" s="32"/>
      <c r="S23" s="32"/>
      <c r="T23" s="53"/>
      <c r="U23" s="21" t="str">
        <f>IFERROR(VLOOKUP(September[[#This Row],[Drug Name2]],'Data Options'!$R$1:$S$100,2,FALSE), " ")</f>
        <v xml:space="preserve"> </v>
      </c>
      <c r="V23" s="32"/>
      <c r="W23" s="32"/>
      <c r="X23" s="53"/>
      <c r="Y23" s="21" t="str">
        <f>IFERROR(VLOOKUP(September[[#This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21" t="str">
        <f>IFERROR(VLOOKUP(September[[#This Row],[Drug Name4]],'Data Options'!$R$1:$S$100,2,FALSE), " ")</f>
        <v xml:space="preserve"> </v>
      </c>
      <c r="AI23" s="32"/>
      <c r="AJ23" s="32"/>
      <c r="AK23" s="53"/>
      <c r="AL23" s="21" t="str">
        <f>IFERROR(VLOOKUP(September[[#This Row],[Drug Name5]],'Data Options'!$R$1:$S$100,2,FALSE), " ")</f>
        <v xml:space="preserve"> </v>
      </c>
      <c r="AM23" s="32"/>
      <c r="AN23" s="32"/>
      <c r="AO23" s="53"/>
      <c r="AP23" s="21" t="str">
        <f>IFERROR(VLOOKUP(September[[#This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21" t="str">
        <f>IFERROR(VLOOKUP(September[[#This Row],[Drug Name7]],'Data Options'!$R$1:$S$100,2,FALSE), " ")</f>
        <v xml:space="preserve"> </v>
      </c>
      <c r="AZ23" s="32"/>
      <c r="BA23" s="32"/>
      <c r="BB23" s="53"/>
      <c r="BC23" s="21" t="str">
        <f>IFERROR(VLOOKUP(September[[#This Row],[Drug Name8]],'Data Options'!$R$1:$S$100,2,FALSE), " ")</f>
        <v xml:space="preserve"> </v>
      </c>
      <c r="BD23" s="32"/>
      <c r="BE23" s="32"/>
      <c r="BF23" s="53"/>
      <c r="BG23" s="21" t="str">
        <f>IFERROR(VLOOKUP(September[[#This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21" t="str">
        <f>IFERROR(VLOOKUP(September[[#This Row],[Drug Name]],'Data Options'!$R$1:$S$100,2,FALSE), " ")</f>
        <v xml:space="preserve"> </v>
      </c>
      <c r="R24" s="32"/>
      <c r="S24" s="32"/>
      <c r="T24" s="53"/>
      <c r="U24" s="21" t="str">
        <f>IFERROR(VLOOKUP(September[[#This Row],[Drug Name2]],'Data Options'!$R$1:$S$100,2,FALSE), " ")</f>
        <v xml:space="preserve"> </v>
      </c>
      <c r="V24" s="32"/>
      <c r="W24" s="32"/>
      <c r="X24" s="53"/>
      <c r="Y24" s="21" t="str">
        <f>IFERROR(VLOOKUP(September[[#This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21" t="str">
        <f>IFERROR(VLOOKUP(September[[#This Row],[Drug Name4]],'Data Options'!$R$1:$S$100,2,FALSE), " ")</f>
        <v xml:space="preserve"> </v>
      </c>
      <c r="AI24" s="32"/>
      <c r="AJ24" s="32"/>
      <c r="AK24" s="53"/>
      <c r="AL24" s="21" t="str">
        <f>IFERROR(VLOOKUP(September[[#This Row],[Drug Name5]],'Data Options'!$R$1:$S$100,2,FALSE), " ")</f>
        <v xml:space="preserve"> </v>
      </c>
      <c r="AM24" s="32"/>
      <c r="AN24" s="32"/>
      <c r="AO24" s="53"/>
      <c r="AP24" s="21" t="str">
        <f>IFERROR(VLOOKUP(September[[#This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21" t="str">
        <f>IFERROR(VLOOKUP(September[[#This Row],[Drug Name7]],'Data Options'!$R$1:$S$100,2,FALSE), " ")</f>
        <v xml:space="preserve"> </v>
      </c>
      <c r="AZ24" s="32"/>
      <c r="BA24" s="32"/>
      <c r="BB24" s="53"/>
      <c r="BC24" s="21" t="str">
        <f>IFERROR(VLOOKUP(September[[#This Row],[Drug Name8]],'Data Options'!$R$1:$S$100,2,FALSE), " ")</f>
        <v xml:space="preserve"> </v>
      </c>
      <c r="BD24" s="32"/>
      <c r="BE24" s="32"/>
      <c r="BF24" s="53"/>
      <c r="BG24" s="21" t="str">
        <f>IFERROR(VLOOKUP(September[[#This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21" t="str">
        <f>IFERROR(VLOOKUP(September[[#This Row],[Drug Name]],'Data Options'!$R$1:$S$100,2,FALSE), " ")</f>
        <v xml:space="preserve"> </v>
      </c>
      <c r="R25" s="32"/>
      <c r="S25" s="32"/>
      <c r="T25" s="53"/>
      <c r="U25" s="21" t="str">
        <f>IFERROR(VLOOKUP(September[[#This Row],[Drug Name2]],'Data Options'!$R$1:$S$100,2,FALSE), " ")</f>
        <v xml:space="preserve"> </v>
      </c>
      <c r="V25" s="32"/>
      <c r="W25" s="32"/>
      <c r="X25" s="53"/>
      <c r="Y25" s="21" t="str">
        <f>IFERROR(VLOOKUP(September[[#This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21" t="str">
        <f>IFERROR(VLOOKUP(September[[#This Row],[Drug Name4]],'Data Options'!$R$1:$S$100,2,FALSE), " ")</f>
        <v xml:space="preserve"> </v>
      </c>
      <c r="AI25" s="32"/>
      <c r="AJ25" s="32"/>
      <c r="AK25" s="53"/>
      <c r="AL25" s="21" t="str">
        <f>IFERROR(VLOOKUP(September[[#This Row],[Drug Name5]],'Data Options'!$R$1:$S$100,2,FALSE), " ")</f>
        <v xml:space="preserve"> </v>
      </c>
      <c r="AM25" s="32"/>
      <c r="AN25" s="32"/>
      <c r="AO25" s="53"/>
      <c r="AP25" s="21" t="str">
        <f>IFERROR(VLOOKUP(September[[#This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21" t="str">
        <f>IFERROR(VLOOKUP(September[[#This Row],[Drug Name7]],'Data Options'!$R$1:$S$100,2,FALSE), " ")</f>
        <v xml:space="preserve"> </v>
      </c>
      <c r="AZ25" s="32"/>
      <c r="BA25" s="32"/>
      <c r="BB25" s="53"/>
      <c r="BC25" s="21" t="str">
        <f>IFERROR(VLOOKUP(September[[#This Row],[Drug Name8]],'Data Options'!$R$1:$S$100,2,FALSE), " ")</f>
        <v xml:space="preserve"> </v>
      </c>
      <c r="BD25" s="32"/>
      <c r="BE25" s="32"/>
      <c r="BF25" s="53"/>
      <c r="BG25" s="21" t="str">
        <f>IFERROR(VLOOKUP(September[[#This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21" t="str">
        <f>IFERROR(VLOOKUP(September[[#This Row],[Drug Name]],'Data Options'!$R$1:$S$100,2,FALSE), " ")</f>
        <v xml:space="preserve"> </v>
      </c>
      <c r="R26" s="32"/>
      <c r="S26" s="32"/>
      <c r="T26" s="53"/>
      <c r="U26" s="21" t="str">
        <f>IFERROR(VLOOKUP(September[[#This Row],[Drug Name2]],'Data Options'!$R$1:$S$100,2,FALSE), " ")</f>
        <v xml:space="preserve"> </v>
      </c>
      <c r="V26" s="32"/>
      <c r="W26" s="32"/>
      <c r="X26" s="53"/>
      <c r="Y26" s="21" t="str">
        <f>IFERROR(VLOOKUP(September[[#This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21" t="str">
        <f>IFERROR(VLOOKUP(September[[#This Row],[Drug Name4]],'Data Options'!$R$1:$S$100,2,FALSE), " ")</f>
        <v xml:space="preserve"> </v>
      </c>
      <c r="AI26" s="32"/>
      <c r="AJ26" s="32"/>
      <c r="AK26" s="53"/>
      <c r="AL26" s="21" t="str">
        <f>IFERROR(VLOOKUP(September[[#This Row],[Drug Name5]],'Data Options'!$R$1:$S$100,2,FALSE), " ")</f>
        <v xml:space="preserve"> </v>
      </c>
      <c r="AM26" s="32"/>
      <c r="AN26" s="32"/>
      <c r="AO26" s="53"/>
      <c r="AP26" s="21" t="str">
        <f>IFERROR(VLOOKUP(September[[#This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21" t="str">
        <f>IFERROR(VLOOKUP(September[[#This Row],[Drug Name7]],'Data Options'!$R$1:$S$100,2,FALSE), " ")</f>
        <v xml:space="preserve"> </v>
      </c>
      <c r="AZ26" s="32"/>
      <c r="BA26" s="32"/>
      <c r="BB26" s="53"/>
      <c r="BC26" s="21" t="str">
        <f>IFERROR(VLOOKUP(September[[#This Row],[Drug Name8]],'Data Options'!$R$1:$S$100,2,FALSE), " ")</f>
        <v xml:space="preserve"> </v>
      </c>
      <c r="BD26" s="32"/>
      <c r="BE26" s="32"/>
      <c r="BF26" s="53"/>
      <c r="BG26" s="21" t="str">
        <f>IFERROR(VLOOKUP(September[[#This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21" t="str">
        <f>IFERROR(VLOOKUP(September[[#This Row],[Drug Name]],'Data Options'!$R$1:$S$100,2,FALSE), " ")</f>
        <v xml:space="preserve"> </v>
      </c>
      <c r="R27" s="32"/>
      <c r="S27" s="32"/>
      <c r="T27" s="53"/>
      <c r="U27" s="21" t="str">
        <f>IFERROR(VLOOKUP(September[[#This Row],[Drug Name2]],'Data Options'!$R$1:$S$100,2,FALSE), " ")</f>
        <v xml:space="preserve"> </v>
      </c>
      <c r="V27" s="32"/>
      <c r="W27" s="32"/>
      <c r="X27" s="53"/>
      <c r="Y27" s="21" t="str">
        <f>IFERROR(VLOOKUP(September[[#This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21" t="str">
        <f>IFERROR(VLOOKUP(September[[#This Row],[Drug Name4]],'Data Options'!$R$1:$S$100,2,FALSE), " ")</f>
        <v xml:space="preserve"> </v>
      </c>
      <c r="AI27" s="32"/>
      <c r="AJ27" s="32"/>
      <c r="AK27" s="53"/>
      <c r="AL27" s="21" t="str">
        <f>IFERROR(VLOOKUP(September[[#This Row],[Drug Name5]],'Data Options'!$R$1:$S$100,2,FALSE), " ")</f>
        <v xml:space="preserve"> </v>
      </c>
      <c r="AM27" s="32"/>
      <c r="AN27" s="32"/>
      <c r="AO27" s="53"/>
      <c r="AP27" s="21" t="str">
        <f>IFERROR(VLOOKUP(September[[#This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21" t="str">
        <f>IFERROR(VLOOKUP(September[[#This Row],[Drug Name7]],'Data Options'!$R$1:$S$100,2,FALSE), " ")</f>
        <v xml:space="preserve"> </v>
      </c>
      <c r="AZ27" s="32"/>
      <c r="BA27" s="32"/>
      <c r="BB27" s="53"/>
      <c r="BC27" s="21" t="str">
        <f>IFERROR(VLOOKUP(September[[#This Row],[Drug Name8]],'Data Options'!$R$1:$S$100,2,FALSE), " ")</f>
        <v xml:space="preserve"> </v>
      </c>
      <c r="BD27" s="32"/>
      <c r="BE27" s="32"/>
      <c r="BF27" s="53"/>
      <c r="BG27" s="21" t="str">
        <f>IFERROR(VLOOKUP(September[[#This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21" t="str">
        <f>IFERROR(VLOOKUP(September[[#This Row],[Drug Name]],'Data Options'!$R$1:$S$100,2,FALSE), " ")</f>
        <v xml:space="preserve"> </v>
      </c>
      <c r="R28" s="32"/>
      <c r="S28" s="32"/>
      <c r="T28" s="53"/>
      <c r="U28" s="21" t="str">
        <f>IFERROR(VLOOKUP(September[[#This Row],[Drug Name2]],'Data Options'!$R$1:$S$100,2,FALSE), " ")</f>
        <v xml:space="preserve"> </v>
      </c>
      <c r="V28" s="32"/>
      <c r="W28" s="32"/>
      <c r="X28" s="53"/>
      <c r="Y28" s="21" t="str">
        <f>IFERROR(VLOOKUP(September[[#This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21" t="str">
        <f>IFERROR(VLOOKUP(September[[#This Row],[Drug Name4]],'Data Options'!$R$1:$S$100,2,FALSE), " ")</f>
        <v xml:space="preserve"> </v>
      </c>
      <c r="AI28" s="32"/>
      <c r="AJ28" s="32"/>
      <c r="AK28" s="53"/>
      <c r="AL28" s="21" t="str">
        <f>IFERROR(VLOOKUP(September[[#This Row],[Drug Name5]],'Data Options'!$R$1:$S$100,2,FALSE), " ")</f>
        <v xml:space="preserve"> </v>
      </c>
      <c r="AM28" s="32"/>
      <c r="AN28" s="32"/>
      <c r="AO28" s="53"/>
      <c r="AP28" s="21" t="str">
        <f>IFERROR(VLOOKUP(September[[#This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21" t="str">
        <f>IFERROR(VLOOKUP(September[[#This Row],[Drug Name7]],'Data Options'!$R$1:$S$100,2,FALSE), " ")</f>
        <v xml:space="preserve"> </v>
      </c>
      <c r="AZ28" s="32"/>
      <c r="BA28" s="32"/>
      <c r="BB28" s="53"/>
      <c r="BC28" s="21" t="str">
        <f>IFERROR(VLOOKUP(September[[#This Row],[Drug Name8]],'Data Options'!$R$1:$S$100,2,FALSE), " ")</f>
        <v xml:space="preserve"> </v>
      </c>
      <c r="BD28" s="32"/>
      <c r="BE28" s="32"/>
      <c r="BF28" s="53"/>
      <c r="BG28" s="21" t="str">
        <f>IFERROR(VLOOKUP(September[[#This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21" t="str">
        <f>IFERROR(VLOOKUP(September[[#This Row],[Drug Name]],'Data Options'!$R$1:$S$100,2,FALSE), " ")</f>
        <v xml:space="preserve"> </v>
      </c>
      <c r="R29" s="32"/>
      <c r="S29" s="32"/>
      <c r="T29" s="53"/>
      <c r="U29" s="21" t="str">
        <f>IFERROR(VLOOKUP(September[[#This Row],[Drug Name2]],'Data Options'!$R$1:$S$100,2,FALSE), " ")</f>
        <v xml:space="preserve"> </v>
      </c>
      <c r="V29" s="32"/>
      <c r="W29" s="32"/>
      <c r="X29" s="53"/>
      <c r="Y29" s="21" t="str">
        <f>IFERROR(VLOOKUP(September[[#This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21" t="str">
        <f>IFERROR(VLOOKUP(September[[#This Row],[Drug Name4]],'Data Options'!$R$1:$S$100,2,FALSE), " ")</f>
        <v xml:space="preserve"> </v>
      </c>
      <c r="AI29" s="32"/>
      <c r="AJ29" s="32"/>
      <c r="AK29" s="53"/>
      <c r="AL29" s="21" t="str">
        <f>IFERROR(VLOOKUP(September[[#This Row],[Drug Name5]],'Data Options'!$R$1:$S$100,2,FALSE), " ")</f>
        <v xml:space="preserve"> </v>
      </c>
      <c r="AM29" s="32"/>
      <c r="AN29" s="32"/>
      <c r="AO29" s="53"/>
      <c r="AP29" s="21" t="str">
        <f>IFERROR(VLOOKUP(September[[#This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21" t="str">
        <f>IFERROR(VLOOKUP(September[[#This Row],[Drug Name7]],'Data Options'!$R$1:$S$100,2,FALSE), " ")</f>
        <v xml:space="preserve"> </v>
      </c>
      <c r="AZ29" s="32"/>
      <c r="BA29" s="32"/>
      <c r="BB29" s="53"/>
      <c r="BC29" s="21" t="str">
        <f>IFERROR(VLOOKUP(September[[#This Row],[Drug Name8]],'Data Options'!$R$1:$S$100,2,FALSE), " ")</f>
        <v xml:space="preserve"> </v>
      </c>
      <c r="BD29" s="32"/>
      <c r="BE29" s="32"/>
      <c r="BF29" s="53"/>
      <c r="BG29" s="21" t="str">
        <f>IFERROR(VLOOKUP(September[[#This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21" t="str">
        <f>IFERROR(VLOOKUP(September[[#This Row],[Drug Name]],'Data Options'!$R$1:$S$100,2,FALSE), " ")</f>
        <v xml:space="preserve"> </v>
      </c>
      <c r="R30" s="32"/>
      <c r="S30" s="32"/>
      <c r="T30" s="53"/>
      <c r="U30" s="21" t="str">
        <f>IFERROR(VLOOKUP(September[[#This Row],[Drug Name2]],'Data Options'!$R$1:$S$100,2,FALSE), " ")</f>
        <v xml:space="preserve"> </v>
      </c>
      <c r="V30" s="32"/>
      <c r="W30" s="32"/>
      <c r="X30" s="53"/>
      <c r="Y30" s="21" t="str">
        <f>IFERROR(VLOOKUP(September[[#This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21" t="str">
        <f>IFERROR(VLOOKUP(September[[#This Row],[Drug Name4]],'Data Options'!$R$1:$S$100,2,FALSE), " ")</f>
        <v xml:space="preserve"> </v>
      </c>
      <c r="AI30" s="32"/>
      <c r="AJ30" s="32"/>
      <c r="AK30" s="53"/>
      <c r="AL30" s="21" t="str">
        <f>IFERROR(VLOOKUP(September[[#This Row],[Drug Name5]],'Data Options'!$R$1:$S$100,2,FALSE), " ")</f>
        <v xml:space="preserve"> </v>
      </c>
      <c r="AM30" s="32"/>
      <c r="AN30" s="32"/>
      <c r="AO30" s="53"/>
      <c r="AP30" s="21" t="str">
        <f>IFERROR(VLOOKUP(September[[#This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21" t="str">
        <f>IFERROR(VLOOKUP(September[[#This Row],[Drug Name7]],'Data Options'!$R$1:$S$100,2,FALSE), " ")</f>
        <v xml:space="preserve"> </v>
      </c>
      <c r="AZ30" s="32"/>
      <c r="BA30" s="32"/>
      <c r="BB30" s="53"/>
      <c r="BC30" s="21" t="str">
        <f>IFERROR(VLOOKUP(September[[#This Row],[Drug Name8]],'Data Options'!$R$1:$S$100,2,FALSE), " ")</f>
        <v xml:space="preserve"> </v>
      </c>
      <c r="BD30" s="32"/>
      <c r="BE30" s="32"/>
      <c r="BF30" s="53"/>
      <c r="BG30" s="21" t="str">
        <f>IFERROR(VLOOKUP(September[[#This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21" t="str">
        <f>IFERROR(VLOOKUP(September[[#This Row],[Drug Name]],'Data Options'!$R$1:$S$100,2,FALSE), " ")</f>
        <v xml:space="preserve"> </v>
      </c>
      <c r="R31" s="32"/>
      <c r="S31" s="32"/>
      <c r="T31" s="53"/>
      <c r="U31" s="21" t="str">
        <f>IFERROR(VLOOKUP(September[[#This Row],[Drug Name2]],'Data Options'!$R$1:$S$100,2,FALSE), " ")</f>
        <v xml:space="preserve"> </v>
      </c>
      <c r="V31" s="32"/>
      <c r="W31" s="32"/>
      <c r="X31" s="53"/>
      <c r="Y31" s="21" t="str">
        <f>IFERROR(VLOOKUP(September[[#This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21" t="str">
        <f>IFERROR(VLOOKUP(September[[#This Row],[Drug Name4]],'Data Options'!$R$1:$S$100,2,FALSE), " ")</f>
        <v xml:space="preserve"> </v>
      </c>
      <c r="AI31" s="32"/>
      <c r="AJ31" s="32"/>
      <c r="AK31" s="53"/>
      <c r="AL31" s="21" t="str">
        <f>IFERROR(VLOOKUP(September[[#This Row],[Drug Name5]],'Data Options'!$R$1:$S$100,2,FALSE), " ")</f>
        <v xml:space="preserve"> </v>
      </c>
      <c r="AM31" s="32"/>
      <c r="AN31" s="32"/>
      <c r="AO31" s="53"/>
      <c r="AP31" s="21" t="str">
        <f>IFERROR(VLOOKUP(September[[#This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21" t="str">
        <f>IFERROR(VLOOKUP(September[[#This Row],[Drug Name7]],'Data Options'!$R$1:$S$100,2,FALSE), " ")</f>
        <v xml:space="preserve"> </v>
      </c>
      <c r="AZ31" s="32"/>
      <c r="BA31" s="32"/>
      <c r="BB31" s="53"/>
      <c r="BC31" s="21" t="str">
        <f>IFERROR(VLOOKUP(September[[#This Row],[Drug Name8]],'Data Options'!$R$1:$S$100,2,FALSE), " ")</f>
        <v xml:space="preserve"> </v>
      </c>
      <c r="BD31" s="32"/>
      <c r="BE31" s="32"/>
      <c r="BF31" s="53"/>
      <c r="BG31" s="21" t="str">
        <f>IFERROR(VLOOKUP(September[[#This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21" t="str">
        <f>IFERROR(VLOOKUP(September[[#This Row],[Drug Name]],'Data Options'!$R$1:$S$100,2,FALSE), " ")</f>
        <v xml:space="preserve"> </v>
      </c>
      <c r="R32" s="32"/>
      <c r="S32" s="32"/>
      <c r="T32" s="53"/>
      <c r="U32" s="21" t="str">
        <f>IFERROR(VLOOKUP(September[[#This Row],[Drug Name2]],'Data Options'!$R$1:$S$100,2,FALSE), " ")</f>
        <v xml:space="preserve"> </v>
      </c>
      <c r="V32" s="32"/>
      <c r="W32" s="32"/>
      <c r="X32" s="53"/>
      <c r="Y32" s="21" t="str">
        <f>IFERROR(VLOOKUP(September[[#This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21" t="str">
        <f>IFERROR(VLOOKUP(September[[#This Row],[Drug Name4]],'Data Options'!$R$1:$S$100,2,FALSE), " ")</f>
        <v xml:space="preserve"> </v>
      </c>
      <c r="AI32" s="32"/>
      <c r="AJ32" s="32"/>
      <c r="AK32" s="53"/>
      <c r="AL32" s="21" t="str">
        <f>IFERROR(VLOOKUP(September[[#This Row],[Drug Name5]],'Data Options'!$R$1:$S$100,2,FALSE), " ")</f>
        <v xml:space="preserve"> </v>
      </c>
      <c r="AM32" s="32"/>
      <c r="AN32" s="32"/>
      <c r="AO32" s="53"/>
      <c r="AP32" s="21" t="str">
        <f>IFERROR(VLOOKUP(September[[#This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21" t="str">
        <f>IFERROR(VLOOKUP(September[[#This Row],[Drug Name7]],'Data Options'!$R$1:$S$100,2,FALSE), " ")</f>
        <v xml:space="preserve"> </v>
      </c>
      <c r="AZ32" s="32"/>
      <c r="BA32" s="32"/>
      <c r="BB32" s="53"/>
      <c r="BC32" s="21" t="str">
        <f>IFERROR(VLOOKUP(September[[#This Row],[Drug Name8]],'Data Options'!$R$1:$S$100,2,FALSE), " ")</f>
        <v xml:space="preserve"> </v>
      </c>
      <c r="BD32" s="32"/>
      <c r="BE32" s="32"/>
      <c r="BF32" s="53"/>
      <c r="BG32" s="21" t="str">
        <f>IFERROR(VLOOKUP(September[[#This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21" t="str">
        <f>IFERROR(VLOOKUP(September[[#This Row],[Drug Name]],'Data Options'!$R$1:$S$100,2,FALSE), " ")</f>
        <v xml:space="preserve"> </v>
      </c>
      <c r="R33" s="32"/>
      <c r="S33" s="32"/>
      <c r="T33" s="53"/>
      <c r="U33" s="21" t="str">
        <f>IFERROR(VLOOKUP(September[[#This Row],[Drug Name2]],'Data Options'!$R$1:$S$100,2,FALSE), " ")</f>
        <v xml:space="preserve"> </v>
      </c>
      <c r="V33" s="32"/>
      <c r="W33" s="32"/>
      <c r="X33" s="53"/>
      <c r="Y33" s="21" t="str">
        <f>IFERROR(VLOOKUP(September[[#This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21" t="str">
        <f>IFERROR(VLOOKUP(September[[#This Row],[Drug Name4]],'Data Options'!$R$1:$S$100,2,FALSE), " ")</f>
        <v xml:space="preserve"> </v>
      </c>
      <c r="AI33" s="32"/>
      <c r="AJ33" s="32"/>
      <c r="AK33" s="53"/>
      <c r="AL33" s="21" t="str">
        <f>IFERROR(VLOOKUP(September[[#This Row],[Drug Name5]],'Data Options'!$R$1:$S$100,2,FALSE), " ")</f>
        <v xml:space="preserve"> </v>
      </c>
      <c r="AM33" s="32"/>
      <c r="AN33" s="32"/>
      <c r="AO33" s="53"/>
      <c r="AP33" s="21" t="str">
        <f>IFERROR(VLOOKUP(September[[#This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21" t="str">
        <f>IFERROR(VLOOKUP(September[[#This Row],[Drug Name7]],'Data Options'!$R$1:$S$100,2,FALSE), " ")</f>
        <v xml:space="preserve"> </v>
      </c>
      <c r="AZ33" s="32"/>
      <c r="BA33" s="32"/>
      <c r="BB33" s="53"/>
      <c r="BC33" s="21" t="str">
        <f>IFERROR(VLOOKUP(September[[#This Row],[Drug Name8]],'Data Options'!$R$1:$S$100,2,FALSE), " ")</f>
        <v xml:space="preserve"> </v>
      </c>
      <c r="BD33" s="32"/>
      <c r="BE33" s="32"/>
      <c r="BF33" s="53"/>
      <c r="BG33" s="21" t="str">
        <f>IFERROR(VLOOKUP(September[[#This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21" t="str">
        <f>IFERROR(VLOOKUP(September[[#This Row],[Drug Name]],'Data Options'!$R$1:$S$100,2,FALSE), " ")</f>
        <v xml:space="preserve"> </v>
      </c>
      <c r="R34" s="32"/>
      <c r="S34" s="32"/>
      <c r="T34" s="53"/>
      <c r="U34" s="21" t="str">
        <f>IFERROR(VLOOKUP(September[[#This Row],[Drug Name2]],'Data Options'!$R$1:$S$100,2,FALSE), " ")</f>
        <v xml:space="preserve"> </v>
      </c>
      <c r="V34" s="32"/>
      <c r="W34" s="32"/>
      <c r="X34" s="53"/>
      <c r="Y34" s="21" t="str">
        <f>IFERROR(VLOOKUP(September[[#This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21" t="str">
        <f>IFERROR(VLOOKUP(September[[#This Row],[Drug Name4]],'Data Options'!$R$1:$S$100,2,FALSE), " ")</f>
        <v xml:space="preserve"> </v>
      </c>
      <c r="AI34" s="32"/>
      <c r="AJ34" s="32"/>
      <c r="AK34" s="53"/>
      <c r="AL34" s="21" t="str">
        <f>IFERROR(VLOOKUP(September[[#This Row],[Drug Name5]],'Data Options'!$R$1:$S$100,2,FALSE), " ")</f>
        <v xml:space="preserve"> </v>
      </c>
      <c r="AM34" s="32"/>
      <c r="AN34" s="32"/>
      <c r="AO34" s="53"/>
      <c r="AP34" s="21" t="str">
        <f>IFERROR(VLOOKUP(September[[#This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21" t="str">
        <f>IFERROR(VLOOKUP(September[[#This Row],[Drug Name7]],'Data Options'!$R$1:$S$100,2,FALSE), " ")</f>
        <v xml:space="preserve"> </v>
      </c>
      <c r="AZ34" s="32"/>
      <c r="BA34" s="32"/>
      <c r="BB34" s="53"/>
      <c r="BC34" s="21" t="str">
        <f>IFERROR(VLOOKUP(September[[#This Row],[Drug Name8]],'Data Options'!$R$1:$S$100,2,FALSE), " ")</f>
        <v xml:space="preserve"> </v>
      </c>
      <c r="BD34" s="32"/>
      <c r="BE34" s="32"/>
      <c r="BF34" s="53"/>
      <c r="BG34" s="21" t="str">
        <f>IFERROR(VLOOKUP(September[[#This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21" t="str">
        <f>IFERROR(VLOOKUP(September[[#This Row],[Drug Name]],'Data Options'!$R$1:$S$100,2,FALSE), " ")</f>
        <v xml:space="preserve"> </v>
      </c>
      <c r="R35" s="32"/>
      <c r="S35" s="32"/>
      <c r="T35" s="53"/>
      <c r="U35" s="21" t="str">
        <f>IFERROR(VLOOKUP(September[[#This Row],[Drug Name2]],'Data Options'!$R$1:$S$100,2,FALSE), " ")</f>
        <v xml:space="preserve"> </v>
      </c>
      <c r="V35" s="32"/>
      <c r="W35" s="32"/>
      <c r="X35" s="53"/>
      <c r="Y35" s="21" t="str">
        <f>IFERROR(VLOOKUP(September[[#This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21" t="str">
        <f>IFERROR(VLOOKUP(September[[#This Row],[Drug Name4]],'Data Options'!$R$1:$S$100,2,FALSE), " ")</f>
        <v xml:space="preserve"> </v>
      </c>
      <c r="AI35" s="32"/>
      <c r="AJ35" s="32"/>
      <c r="AK35" s="53"/>
      <c r="AL35" s="21" t="str">
        <f>IFERROR(VLOOKUP(September[[#This Row],[Drug Name5]],'Data Options'!$R$1:$S$100,2,FALSE), " ")</f>
        <v xml:space="preserve"> </v>
      </c>
      <c r="AM35" s="32"/>
      <c r="AN35" s="32"/>
      <c r="AO35" s="53"/>
      <c r="AP35" s="21" t="str">
        <f>IFERROR(VLOOKUP(September[[#This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21" t="str">
        <f>IFERROR(VLOOKUP(September[[#This Row],[Drug Name7]],'Data Options'!$R$1:$S$100,2,FALSE), " ")</f>
        <v xml:space="preserve"> </v>
      </c>
      <c r="AZ35" s="32"/>
      <c r="BA35" s="32"/>
      <c r="BB35" s="53"/>
      <c r="BC35" s="21" t="str">
        <f>IFERROR(VLOOKUP(September[[#This Row],[Drug Name8]],'Data Options'!$R$1:$S$100,2,FALSE), " ")</f>
        <v xml:space="preserve"> </v>
      </c>
      <c r="BD35" s="32"/>
      <c r="BE35" s="32"/>
      <c r="BF35" s="53"/>
      <c r="BG35" s="21" t="str">
        <f>IFERROR(VLOOKUP(September[[#This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21" t="str">
        <f>IFERROR(VLOOKUP(September[[#This Row],[Drug Name]],'Data Options'!$R$1:$S$100,2,FALSE), " ")</f>
        <v xml:space="preserve"> </v>
      </c>
      <c r="R36" s="32"/>
      <c r="S36" s="32"/>
      <c r="T36" s="53"/>
      <c r="U36" s="21" t="str">
        <f>IFERROR(VLOOKUP(September[[#This Row],[Drug Name2]],'Data Options'!$R$1:$S$100,2,FALSE), " ")</f>
        <v xml:space="preserve"> </v>
      </c>
      <c r="V36" s="32"/>
      <c r="W36" s="32"/>
      <c r="X36" s="53"/>
      <c r="Y36" s="21" t="str">
        <f>IFERROR(VLOOKUP(September[[#This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21" t="str">
        <f>IFERROR(VLOOKUP(September[[#This Row],[Drug Name4]],'Data Options'!$R$1:$S$100,2,FALSE), " ")</f>
        <v xml:space="preserve"> </v>
      </c>
      <c r="AI36" s="32"/>
      <c r="AJ36" s="32"/>
      <c r="AK36" s="53"/>
      <c r="AL36" s="21" t="str">
        <f>IFERROR(VLOOKUP(September[[#This Row],[Drug Name5]],'Data Options'!$R$1:$S$100,2,FALSE), " ")</f>
        <v xml:space="preserve"> </v>
      </c>
      <c r="AM36" s="32"/>
      <c r="AN36" s="32"/>
      <c r="AO36" s="53"/>
      <c r="AP36" s="21" t="str">
        <f>IFERROR(VLOOKUP(September[[#This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21" t="str">
        <f>IFERROR(VLOOKUP(September[[#This Row],[Drug Name7]],'Data Options'!$R$1:$S$100,2,FALSE), " ")</f>
        <v xml:space="preserve"> </v>
      </c>
      <c r="AZ36" s="32"/>
      <c r="BA36" s="32"/>
      <c r="BB36" s="53"/>
      <c r="BC36" s="21" t="str">
        <f>IFERROR(VLOOKUP(September[[#This Row],[Drug Name8]],'Data Options'!$R$1:$S$100,2,FALSE), " ")</f>
        <v xml:space="preserve"> </v>
      </c>
      <c r="BD36" s="32"/>
      <c r="BE36" s="32"/>
      <c r="BF36" s="53"/>
      <c r="BG36" s="21" t="str">
        <f>IFERROR(VLOOKUP(September[[#This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21" t="str">
        <f>IFERROR(VLOOKUP(September[[#This Row],[Drug Name]],'Data Options'!$R$1:$S$100,2,FALSE), " ")</f>
        <v xml:space="preserve"> </v>
      </c>
      <c r="R37" s="32"/>
      <c r="S37" s="32"/>
      <c r="T37" s="53"/>
      <c r="U37" s="21" t="str">
        <f>IFERROR(VLOOKUP(September[[#This Row],[Drug Name2]],'Data Options'!$R$1:$S$100,2,FALSE), " ")</f>
        <v xml:space="preserve"> </v>
      </c>
      <c r="V37" s="32"/>
      <c r="W37" s="32"/>
      <c r="X37" s="53"/>
      <c r="Y37" s="21" t="str">
        <f>IFERROR(VLOOKUP(September[[#This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21" t="str">
        <f>IFERROR(VLOOKUP(September[[#This Row],[Drug Name4]],'Data Options'!$R$1:$S$100,2,FALSE), " ")</f>
        <v xml:space="preserve"> </v>
      </c>
      <c r="AI37" s="32"/>
      <c r="AJ37" s="32"/>
      <c r="AK37" s="53"/>
      <c r="AL37" s="21" t="str">
        <f>IFERROR(VLOOKUP(September[[#This Row],[Drug Name5]],'Data Options'!$R$1:$S$100,2,FALSE), " ")</f>
        <v xml:space="preserve"> </v>
      </c>
      <c r="AM37" s="32"/>
      <c r="AN37" s="32"/>
      <c r="AO37" s="53"/>
      <c r="AP37" s="21" t="str">
        <f>IFERROR(VLOOKUP(September[[#This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21" t="str">
        <f>IFERROR(VLOOKUP(September[[#This Row],[Drug Name7]],'Data Options'!$R$1:$S$100,2,FALSE), " ")</f>
        <v xml:space="preserve"> </v>
      </c>
      <c r="AZ37" s="32"/>
      <c r="BA37" s="32"/>
      <c r="BB37" s="53"/>
      <c r="BC37" s="21" t="str">
        <f>IFERROR(VLOOKUP(September[[#This Row],[Drug Name8]],'Data Options'!$R$1:$S$100,2,FALSE), " ")</f>
        <v xml:space="preserve"> </v>
      </c>
      <c r="BD37" s="32"/>
      <c r="BE37" s="32"/>
      <c r="BF37" s="53"/>
      <c r="BG37" s="21" t="str">
        <f>IFERROR(VLOOKUP(September[[#This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21" t="str">
        <f>IFERROR(VLOOKUP(September[[#This Row],[Drug Name]],'Data Options'!$R$1:$S$100,2,FALSE), " ")</f>
        <v xml:space="preserve"> </v>
      </c>
      <c r="R38" s="32"/>
      <c r="S38" s="32"/>
      <c r="T38" s="53"/>
      <c r="U38" s="21" t="str">
        <f>IFERROR(VLOOKUP(September[[#This Row],[Drug Name2]],'Data Options'!$R$1:$S$100,2,FALSE), " ")</f>
        <v xml:space="preserve"> </v>
      </c>
      <c r="V38" s="32"/>
      <c r="W38" s="32"/>
      <c r="X38" s="53"/>
      <c r="Y38" s="21" t="str">
        <f>IFERROR(VLOOKUP(September[[#This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21" t="str">
        <f>IFERROR(VLOOKUP(September[[#This Row],[Drug Name4]],'Data Options'!$R$1:$S$100,2,FALSE), " ")</f>
        <v xml:space="preserve"> </v>
      </c>
      <c r="AI38" s="32"/>
      <c r="AJ38" s="32"/>
      <c r="AK38" s="53"/>
      <c r="AL38" s="21" t="str">
        <f>IFERROR(VLOOKUP(September[[#This Row],[Drug Name5]],'Data Options'!$R$1:$S$100,2,FALSE), " ")</f>
        <v xml:space="preserve"> </v>
      </c>
      <c r="AM38" s="32"/>
      <c r="AN38" s="32"/>
      <c r="AO38" s="53"/>
      <c r="AP38" s="21" t="str">
        <f>IFERROR(VLOOKUP(September[[#This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21" t="str">
        <f>IFERROR(VLOOKUP(September[[#This Row],[Drug Name7]],'Data Options'!$R$1:$S$100,2,FALSE), " ")</f>
        <v xml:space="preserve"> </v>
      </c>
      <c r="AZ38" s="32"/>
      <c r="BA38" s="32"/>
      <c r="BB38" s="53"/>
      <c r="BC38" s="21" t="str">
        <f>IFERROR(VLOOKUP(September[[#This Row],[Drug Name8]],'Data Options'!$R$1:$S$100,2,FALSE), " ")</f>
        <v xml:space="preserve"> </v>
      </c>
      <c r="BD38" s="32"/>
      <c r="BE38" s="32"/>
      <c r="BF38" s="53"/>
      <c r="BG38" s="21" t="str">
        <f>IFERROR(VLOOKUP(September[[#This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21" t="str">
        <f>IFERROR(VLOOKUP(September[[#This Row],[Drug Name]],'Data Options'!$R$1:$S$100,2,FALSE), " ")</f>
        <v xml:space="preserve"> </v>
      </c>
      <c r="R39" s="32"/>
      <c r="S39" s="32"/>
      <c r="T39" s="53"/>
      <c r="U39" s="21" t="str">
        <f>IFERROR(VLOOKUP(September[[#This Row],[Drug Name2]],'Data Options'!$R$1:$S$100,2,FALSE), " ")</f>
        <v xml:space="preserve"> </v>
      </c>
      <c r="V39" s="32"/>
      <c r="W39" s="32"/>
      <c r="X39" s="53"/>
      <c r="Y39" s="21" t="str">
        <f>IFERROR(VLOOKUP(September[[#This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21" t="str">
        <f>IFERROR(VLOOKUP(September[[#This Row],[Drug Name4]],'Data Options'!$R$1:$S$100,2,FALSE), " ")</f>
        <v xml:space="preserve"> </v>
      </c>
      <c r="AI39" s="32"/>
      <c r="AJ39" s="32"/>
      <c r="AK39" s="53"/>
      <c r="AL39" s="21" t="str">
        <f>IFERROR(VLOOKUP(September[[#This Row],[Drug Name5]],'Data Options'!$R$1:$S$100,2,FALSE), " ")</f>
        <v xml:space="preserve"> </v>
      </c>
      <c r="AM39" s="32"/>
      <c r="AN39" s="32"/>
      <c r="AO39" s="53"/>
      <c r="AP39" s="21" t="str">
        <f>IFERROR(VLOOKUP(September[[#This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21" t="str">
        <f>IFERROR(VLOOKUP(September[[#This Row],[Drug Name7]],'Data Options'!$R$1:$S$100,2,FALSE), " ")</f>
        <v xml:space="preserve"> </v>
      </c>
      <c r="AZ39" s="32"/>
      <c r="BA39" s="32"/>
      <c r="BB39" s="53"/>
      <c r="BC39" s="21" t="str">
        <f>IFERROR(VLOOKUP(September[[#This Row],[Drug Name8]],'Data Options'!$R$1:$S$100,2,FALSE), " ")</f>
        <v xml:space="preserve"> </v>
      </c>
      <c r="BD39" s="32"/>
      <c r="BE39" s="32"/>
      <c r="BF39" s="53"/>
      <c r="BG39" s="21" t="str">
        <f>IFERROR(VLOOKUP(September[[#This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21" t="str">
        <f>IFERROR(VLOOKUP(September[[#This Row],[Drug Name]],'Data Options'!$R$1:$S$100,2,FALSE), " ")</f>
        <v xml:space="preserve"> </v>
      </c>
      <c r="R40" s="32"/>
      <c r="S40" s="32"/>
      <c r="T40" s="53"/>
      <c r="U40" s="21" t="str">
        <f>IFERROR(VLOOKUP(September[[#This Row],[Drug Name2]],'Data Options'!$R$1:$S$100,2,FALSE), " ")</f>
        <v xml:space="preserve"> </v>
      </c>
      <c r="V40" s="32"/>
      <c r="W40" s="32"/>
      <c r="X40" s="53"/>
      <c r="Y40" s="21" t="str">
        <f>IFERROR(VLOOKUP(September[[#This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21" t="str">
        <f>IFERROR(VLOOKUP(September[[#This Row],[Drug Name4]],'Data Options'!$R$1:$S$100,2,FALSE), " ")</f>
        <v xml:space="preserve"> </v>
      </c>
      <c r="AI40" s="32"/>
      <c r="AJ40" s="32"/>
      <c r="AK40" s="53"/>
      <c r="AL40" s="21" t="str">
        <f>IFERROR(VLOOKUP(September[[#This Row],[Drug Name5]],'Data Options'!$R$1:$S$100,2,FALSE), " ")</f>
        <v xml:space="preserve"> </v>
      </c>
      <c r="AM40" s="32"/>
      <c r="AN40" s="32"/>
      <c r="AO40" s="53"/>
      <c r="AP40" s="21" t="str">
        <f>IFERROR(VLOOKUP(September[[#This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21" t="str">
        <f>IFERROR(VLOOKUP(September[[#This Row],[Drug Name7]],'Data Options'!$R$1:$S$100,2,FALSE), " ")</f>
        <v xml:space="preserve"> </v>
      </c>
      <c r="AZ40" s="32"/>
      <c r="BA40" s="32"/>
      <c r="BB40" s="53"/>
      <c r="BC40" s="21" t="str">
        <f>IFERROR(VLOOKUP(September[[#This Row],[Drug Name8]],'Data Options'!$R$1:$S$100,2,FALSE), " ")</f>
        <v xml:space="preserve"> </v>
      </c>
      <c r="BD40" s="32"/>
      <c r="BE40" s="32"/>
      <c r="BF40" s="53"/>
      <c r="BG40" s="21" t="str">
        <f>IFERROR(VLOOKUP(September[[#This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21" t="str">
        <f>IFERROR(VLOOKUP(September[[#This Row],[Drug Name]],'Data Options'!$R$1:$S$100,2,FALSE), " ")</f>
        <v xml:space="preserve"> </v>
      </c>
      <c r="R41" s="32"/>
      <c r="S41" s="32"/>
      <c r="T41" s="53"/>
      <c r="U41" s="21" t="str">
        <f>IFERROR(VLOOKUP(September[[#This Row],[Drug Name2]],'Data Options'!$R$1:$S$100,2,FALSE), " ")</f>
        <v xml:space="preserve"> </v>
      </c>
      <c r="V41" s="32"/>
      <c r="W41" s="32"/>
      <c r="X41" s="53"/>
      <c r="Y41" s="21" t="str">
        <f>IFERROR(VLOOKUP(September[[#This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21" t="str">
        <f>IFERROR(VLOOKUP(September[[#This Row],[Drug Name4]],'Data Options'!$R$1:$S$100,2,FALSE), " ")</f>
        <v xml:space="preserve"> </v>
      </c>
      <c r="AI41" s="32"/>
      <c r="AJ41" s="32"/>
      <c r="AK41" s="53"/>
      <c r="AL41" s="21" t="str">
        <f>IFERROR(VLOOKUP(September[[#This Row],[Drug Name5]],'Data Options'!$R$1:$S$100,2,FALSE), " ")</f>
        <v xml:space="preserve"> </v>
      </c>
      <c r="AM41" s="32"/>
      <c r="AN41" s="32"/>
      <c r="AO41" s="53"/>
      <c r="AP41" s="21" t="str">
        <f>IFERROR(VLOOKUP(September[[#This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21" t="str">
        <f>IFERROR(VLOOKUP(September[[#This Row],[Drug Name7]],'Data Options'!$R$1:$S$100,2,FALSE), " ")</f>
        <v xml:space="preserve"> </v>
      </c>
      <c r="AZ41" s="32"/>
      <c r="BA41" s="32"/>
      <c r="BB41" s="53"/>
      <c r="BC41" s="21" t="str">
        <f>IFERROR(VLOOKUP(September[[#This Row],[Drug Name8]],'Data Options'!$R$1:$S$100,2,FALSE), " ")</f>
        <v xml:space="preserve"> </v>
      </c>
      <c r="BD41" s="32"/>
      <c r="BE41" s="32"/>
      <c r="BF41" s="53"/>
      <c r="BG41" s="21" t="str">
        <f>IFERROR(VLOOKUP(September[[#This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21" t="str">
        <f>IFERROR(VLOOKUP(September[[#This Row],[Drug Name]],'Data Options'!$R$1:$S$100,2,FALSE), " ")</f>
        <v xml:space="preserve"> </v>
      </c>
      <c r="R42" s="32"/>
      <c r="S42" s="32"/>
      <c r="T42" s="53"/>
      <c r="U42" s="21" t="str">
        <f>IFERROR(VLOOKUP(September[[#This Row],[Drug Name2]],'Data Options'!$R$1:$S$100,2,FALSE), " ")</f>
        <v xml:space="preserve"> </v>
      </c>
      <c r="V42" s="32"/>
      <c r="W42" s="32"/>
      <c r="X42" s="53"/>
      <c r="Y42" s="21" t="str">
        <f>IFERROR(VLOOKUP(September[[#This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21" t="str">
        <f>IFERROR(VLOOKUP(September[[#This Row],[Drug Name4]],'Data Options'!$R$1:$S$100,2,FALSE), " ")</f>
        <v xml:space="preserve"> </v>
      </c>
      <c r="AI42" s="32"/>
      <c r="AJ42" s="32"/>
      <c r="AK42" s="53"/>
      <c r="AL42" s="21" t="str">
        <f>IFERROR(VLOOKUP(September[[#This Row],[Drug Name5]],'Data Options'!$R$1:$S$100,2,FALSE), " ")</f>
        <v xml:space="preserve"> </v>
      </c>
      <c r="AM42" s="32"/>
      <c r="AN42" s="32"/>
      <c r="AO42" s="53"/>
      <c r="AP42" s="21" t="str">
        <f>IFERROR(VLOOKUP(September[[#This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21" t="str">
        <f>IFERROR(VLOOKUP(September[[#This Row],[Drug Name7]],'Data Options'!$R$1:$S$100,2,FALSE), " ")</f>
        <v xml:space="preserve"> </v>
      </c>
      <c r="AZ42" s="32"/>
      <c r="BA42" s="32"/>
      <c r="BB42" s="53"/>
      <c r="BC42" s="21" t="str">
        <f>IFERROR(VLOOKUP(September[[#This Row],[Drug Name8]],'Data Options'!$R$1:$S$100,2,FALSE), " ")</f>
        <v xml:space="preserve"> </v>
      </c>
      <c r="BD42" s="32"/>
      <c r="BE42" s="32"/>
      <c r="BF42" s="53"/>
      <c r="BG42" s="21" t="str">
        <f>IFERROR(VLOOKUP(September[[#This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21" t="str">
        <f>IFERROR(VLOOKUP(September[[#This Row],[Drug Name]],'Data Options'!$R$1:$S$100,2,FALSE), " ")</f>
        <v xml:space="preserve"> </v>
      </c>
      <c r="R43" s="32"/>
      <c r="S43" s="32"/>
      <c r="T43" s="53"/>
      <c r="U43" s="21" t="str">
        <f>IFERROR(VLOOKUP(September[[#This Row],[Drug Name2]],'Data Options'!$R$1:$S$100,2,FALSE), " ")</f>
        <v xml:space="preserve"> </v>
      </c>
      <c r="V43" s="32"/>
      <c r="W43" s="32"/>
      <c r="X43" s="53"/>
      <c r="Y43" s="21" t="str">
        <f>IFERROR(VLOOKUP(September[[#This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21" t="str">
        <f>IFERROR(VLOOKUP(September[[#This Row],[Drug Name4]],'Data Options'!$R$1:$S$100,2,FALSE), " ")</f>
        <v xml:space="preserve"> </v>
      </c>
      <c r="AI43" s="32"/>
      <c r="AJ43" s="32"/>
      <c r="AK43" s="53"/>
      <c r="AL43" s="21" t="str">
        <f>IFERROR(VLOOKUP(September[[#This Row],[Drug Name5]],'Data Options'!$R$1:$S$100,2,FALSE), " ")</f>
        <v xml:space="preserve"> </v>
      </c>
      <c r="AM43" s="32"/>
      <c r="AN43" s="32"/>
      <c r="AO43" s="53"/>
      <c r="AP43" s="21" t="str">
        <f>IFERROR(VLOOKUP(September[[#This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21" t="str">
        <f>IFERROR(VLOOKUP(September[[#This Row],[Drug Name7]],'Data Options'!$R$1:$S$100,2,FALSE), " ")</f>
        <v xml:space="preserve"> </v>
      </c>
      <c r="AZ43" s="32"/>
      <c r="BA43" s="32"/>
      <c r="BB43" s="53"/>
      <c r="BC43" s="21" t="str">
        <f>IFERROR(VLOOKUP(September[[#This Row],[Drug Name8]],'Data Options'!$R$1:$S$100,2,FALSE), " ")</f>
        <v xml:space="preserve"> </v>
      </c>
      <c r="BD43" s="32"/>
      <c r="BE43" s="32"/>
      <c r="BF43" s="53"/>
      <c r="BG43" s="21" t="str">
        <f>IFERROR(VLOOKUP(September[[#This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21" t="str">
        <f>IFERROR(VLOOKUP(September[[#This Row],[Drug Name]],'Data Options'!$R$1:$S$100,2,FALSE), " ")</f>
        <v xml:space="preserve"> </v>
      </c>
      <c r="R44" s="32"/>
      <c r="S44" s="32"/>
      <c r="T44" s="53"/>
      <c r="U44" s="21" t="str">
        <f>IFERROR(VLOOKUP(September[[#This Row],[Drug Name2]],'Data Options'!$R$1:$S$100,2,FALSE), " ")</f>
        <v xml:space="preserve"> </v>
      </c>
      <c r="V44" s="32"/>
      <c r="W44" s="32"/>
      <c r="X44" s="53"/>
      <c r="Y44" s="21" t="str">
        <f>IFERROR(VLOOKUP(September[[#This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21" t="str">
        <f>IFERROR(VLOOKUP(September[[#This Row],[Drug Name4]],'Data Options'!$R$1:$S$100,2,FALSE), " ")</f>
        <v xml:space="preserve"> </v>
      </c>
      <c r="AI44" s="32"/>
      <c r="AJ44" s="32"/>
      <c r="AK44" s="53"/>
      <c r="AL44" s="21" t="str">
        <f>IFERROR(VLOOKUP(September[[#This Row],[Drug Name5]],'Data Options'!$R$1:$S$100,2,FALSE), " ")</f>
        <v xml:space="preserve"> </v>
      </c>
      <c r="AM44" s="32"/>
      <c r="AN44" s="32"/>
      <c r="AO44" s="53"/>
      <c r="AP44" s="21" t="str">
        <f>IFERROR(VLOOKUP(September[[#This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21" t="str">
        <f>IFERROR(VLOOKUP(September[[#This Row],[Drug Name7]],'Data Options'!$R$1:$S$100,2,FALSE), " ")</f>
        <v xml:space="preserve"> </v>
      </c>
      <c r="AZ44" s="32"/>
      <c r="BA44" s="32"/>
      <c r="BB44" s="53"/>
      <c r="BC44" s="21" t="str">
        <f>IFERROR(VLOOKUP(September[[#This Row],[Drug Name8]],'Data Options'!$R$1:$S$100,2,FALSE), " ")</f>
        <v xml:space="preserve"> </v>
      </c>
      <c r="BD44" s="32"/>
      <c r="BE44" s="32"/>
      <c r="BF44" s="53"/>
      <c r="BG44" s="21" t="str">
        <f>IFERROR(VLOOKUP(September[[#This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21" t="str">
        <f>IFERROR(VLOOKUP(September[[#This Row],[Drug Name]],'Data Options'!$R$1:$S$100,2,FALSE), " ")</f>
        <v xml:space="preserve"> </v>
      </c>
      <c r="R45" s="32"/>
      <c r="S45" s="32"/>
      <c r="T45" s="53"/>
      <c r="U45" s="21" t="str">
        <f>IFERROR(VLOOKUP(September[[#This Row],[Drug Name2]],'Data Options'!$R$1:$S$100,2,FALSE), " ")</f>
        <v xml:space="preserve"> </v>
      </c>
      <c r="V45" s="32"/>
      <c r="W45" s="32"/>
      <c r="X45" s="53"/>
      <c r="Y45" s="21" t="str">
        <f>IFERROR(VLOOKUP(September[[#This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21" t="str">
        <f>IFERROR(VLOOKUP(September[[#This Row],[Drug Name4]],'Data Options'!$R$1:$S$100,2,FALSE), " ")</f>
        <v xml:space="preserve"> </v>
      </c>
      <c r="AI45" s="32"/>
      <c r="AJ45" s="32"/>
      <c r="AK45" s="53"/>
      <c r="AL45" s="21" t="str">
        <f>IFERROR(VLOOKUP(September[[#This Row],[Drug Name5]],'Data Options'!$R$1:$S$100,2,FALSE), " ")</f>
        <v xml:space="preserve"> </v>
      </c>
      <c r="AM45" s="32"/>
      <c r="AN45" s="32"/>
      <c r="AO45" s="53"/>
      <c r="AP45" s="21" t="str">
        <f>IFERROR(VLOOKUP(September[[#This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21" t="str">
        <f>IFERROR(VLOOKUP(September[[#This Row],[Drug Name7]],'Data Options'!$R$1:$S$100,2,FALSE), " ")</f>
        <v xml:space="preserve"> </v>
      </c>
      <c r="AZ45" s="32"/>
      <c r="BA45" s="32"/>
      <c r="BB45" s="53"/>
      <c r="BC45" s="21" t="str">
        <f>IFERROR(VLOOKUP(September[[#This Row],[Drug Name8]],'Data Options'!$R$1:$S$100,2,FALSE), " ")</f>
        <v xml:space="preserve"> </v>
      </c>
      <c r="BD45" s="32"/>
      <c r="BE45" s="32"/>
      <c r="BF45" s="53"/>
      <c r="BG45" s="21" t="str">
        <f>IFERROR(VLOOKUP(September[[#This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21" t="str">
        <f>IFERROR(VLOOKUP(September[[#This Row],[Drug Name]],'Data Options'!$R$1:$S$100,2,FALSE), " ")</f>
        <v xml:space="preserve"> </v>
      </c>
      <c r="R46" s="32"/>
      <c r="S46" s="32"/>
      <c r="T46" s="53"/>
      <c r="U46" s="21" t="str">
        <f>IFERROR(VLOOKUP(September[[#This Row],[Drug Name2]],'Data Options'!$R$1:$S$100,2,FALSE), " ")</f>
        <v xml:space="preserve"> </v>
      </c>
      <c r="V46" s="32"/>
      <c r="W46" s="32"/>
      <c r="X46" s="53"/>
      <c r="Y46" s="21" t="str">
        <f>IFERROR(VLOOKUP(September[[#This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21" t="str">
        <f>IFERROR(VLOOKUP(September[[#This Row],[Drug Name4]],'Data Options'!$R$1:$S$100,2,FALSE), " ")</f>
        <v xml:space="preserve"> </v>
      </c>
      <c r="AI46" s="32"/>
      <c r="AJ46" s="32"/>
      <c r="AK46" s="53"/>
      <c r="AL46" s="21" t="str">
        <f>IFERROR(VLOOKUP(September[[#This Row],[Drug Name5]],'Data Options'!$R$1:$S$100,2,FALSE), " ")</f>
        <v xml:space="preserve"> </v>
      </c>
      <c r="AM46" s="32"/>
      <c r="AN46" s="32"/>
      <c r="AO46" s="53"/>
      <c r="AP46" s="21" t="str">
        <f>IFERROR(VLOOKUP(September[[#This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21" t="str">
        <f>IFERROR(VLOOKUP(September[[#This Row],[Drug Name7]],'Data Options'!$R$1:$S$100,2,FALSE), " ")</f>
        <v xml:space="preserve"> </v>
      </c>
      <c r="AZ46" s="32"/>
      <c r="BA46" s="32"/>
      <c r="BB46" s="53"/>
      <c r="BC46" s="21" t="str">
        <f>IFERROR(VLOOKUP(September[[#This Row],[Drug Name8]],'Data Options'!$R$1:$S$100,2,FALSE), " ")</f>
        <v xml:space="preserve"> </v>
      </c>
      <c r="BD46" s="32"/>
      <c r="BE46" s="32"/>
      <c r="BF46" s="53"/>
      <c r="BG46" s="21" t="str">
        <f>IFERROR(VLOOKUP(September[[#This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21" t="str">
        <f>IFERROR(VLOOKUP(September[[#This Row],[Drug Name]],'Data Options'!$R$1:$S$100,2,FALSE), " ")</f>
        <v xml:space="preserve"> </v>
      </c>
      <c r="R47" s="32"/>
      <c r="S47" s="32"/>
      <c r="T47" s="53"/>
      <c r="U47" s="21" t="str">
        <f>IFERROR(VLOOKUP(September[[#This Row],[Drug Name2]],'Data Options'!$R$1:$S$100,2,FALSE), " ")</f>
        <v xml:space="preserve"> </v>
      </c>
      <c r="V47" s="32"/>
      <c r="W47" s="32"/>
      <c r="X47" s="53"/>
      <c r="Y47" s="21" t="str">
        <f>IFERROR(VLOOKUP(September[[#This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21" t="str">
        <f>IFERROR(VLOOKUP(September[[#This Row],[Drug Name4]],'Data Options'!$R$1:$S$100,2,FALSE), " ")</f>
        <v xml:space="preserve"> </v>
      </c>
      <c r="AI47" s="32"/>
      <c r="AJ47" s="32"/>
      <c r="AK47" s="53"/>
      <c r="AL47" s="21" t="str">
        <f>IFERROR(VLOOKUP(September[[#This Row],[Drug Name5]],'Data Options'!$R$1:$S$100,2,FALSE), " ")</f>
        <v xml:space="preserve"> </v>
      </c>
      <c r="AM47" s="32"/>
      <c r="AN47" s="32"/>
      <c r="AO47" s="53"/>
      <c r="AP47" s="21" t="str">
        <f>IFERROR(VLOOKUP(September[[#This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21" t="str">
        <f>IFERROR(VLOOKUP(September[[#This Row],[Drug Name7]],'Data Options'!$R$1:$S$100,2,FALSE), " ")</f>
        <v xml:space="preserve"> </v>
      </c>
      <c r="AZ47" s="32"/>
      <c r="BA47" s="32"/>
      <c r="BB47" s="53"/>
      <c r="BC47" s="21" t="str">
        <f>IFERROR(VLOOKUP(September[[#This Row],[Drug Name8]],'Data Options'!$R$1:$S$100,2,FALSE), " ")</f>
        <v xml:space="preserve"> </v>
      </c>
      <c r="BD47" s="32"/>
      <c r="BE47" s="32"/>
      <c r="BF47" s="53"/>
      <c r="BG47" s="21" t="str">
        <f>IFERROR(VLOOKUP(September[[#This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21" t="str">
        <f>IFERROR(VLOOKUP(September[[#This Row],[Drug Name]],'Data Options'!$R$1:$S$100,2,FALSE), " ")</f>
        <v xml:space="preserve"> </v>
      </c>
      <c r="R48" s="32"/>
      <c r="S48" s="32"/>
      <c r="T48" s="53"/>
      <c r="U48" s="21" t="str">
        <f>IFERROR(VLOOKUP(September[[#This Row],[Drug Name2]],'Data Options'!$R$1:$S$100,2,FALSE), " ")</f>
        <v xml:space="preserve"> </v>
      </c>
      <c r="V48" s="32"/>
      <c r="W48" s="32"/>
      <c r="X48" s="53"/>
      <c r="Y48" s="21" t="str">
        <f>IFERROR(VLOOKUP(September[[#This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21" t="str">
        <f>IFERROR(VLOOKUP(September[[#This Row],[Drug Name4]],'Data Options'!$R$1:$S$100,2,FALSE), " ")</f>
        <v xml:space="preserve"> </v>
      </c>
      <c r="AI48" s="32"/>
      <c r="AJ48" s="32"/>
      <c r="AK48" s="53"/>
      <c r="AL48" s="21" t="str">
        <f>IFERROR(VLOOKUP(September[[#This Row],[Drug Name5]],'Data Options'!$R$1:$S$100,2,FALSE), " ")</f>
        <v xml:space="preserve"> </v>
      </c>
      <c r="AM48" s="32"/>
      <c r="AN48" s="32"/>
      <c r="AO48" s="53"/>
      <c r="AP48" s="21" t="str">
        <f>IFERROR(VLOOKUP(September[[#This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21" t="str">
        <f>IFERROR(VLOOKUP(September[[#This Row],[Drug Name7]],'Data Options'!$R$1:$S$100,2,FALSE), " ")</f>
        <v xml:space="preserve"> </v>
      </c>
      <c r="AZ48" s="32"/>
      <c r="BA48" s="32"/>
      <c r="BB48" s="53"/>
      <c r="BC48" s="21" t="str">
        <f>IFERROR(VLOOKUP(September[[#This Row],[Drug Name8]],'Data Options'!$R$1:$S$100,2,FALSE), " ")</f>
        <v xml:space="preserve"> </v>
      </c>
      <c r="BD48" s="32"/>
      <c r="BE48" s="32"/>
      <c r="BF48" s="53"/>
      <c r="BG48" s="21" t="str">
        <f>IFERROR(VLOOKUP(September[[#This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21" t="str">
        <f>IFERROR(VLOOKUP(September[[#This Row],[Drug Name]],'Data Options'!$R$1:$S$100,2,FALSE), " ")</f>
        <v xml:space="preserve"> </v>
      </c>
      <c r="R49" s="32"/>
      <c r="S49" s="32"/>
      <c r="T49" s="53"/>
      <c r="U49" s="21" t="str">
        <f>IFERROR(VLOOKUP(September[[#This Row],[Drug Name2]],'Data Options'!$R$1:$S$100,2,FALSE), " ")</f>
        <v xml:space="preserve"> </v>
      </c>
      <c r="V49" s="32"/>
      <c r="W49" s="32"/>
      <c r="X49" s="53"/>
      <c r="Y49" s="21" t="str">
        <f>IFERROR(VLOOKUP(September[[#This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21" t="str">
        <f>IFERROR(VLOOKUP(September[[#This Row],[Drug Name4]],'Data Options'!$R$1:$S$100,2,FALSE), " ")</f>
        <v xml:space="preserve"> </v>
      </c>
      <c r="AI49" s="32"/>
      <c r="AJ49" s="32"/>
      <c r="AK49" s="53"/>
      <c r="AL49" s="21" t="str">
        <f>IFERROR(VLOOKUP(September[[#This Row],[Drug Name5]],'Data Options'!$R$1:$S$100,2,FALSE), " ")</f>
        <v xml:space="preserve"> </v>
      </c>
      <c r="AM49" s="32"/>
      <c r="AN49" s="32"/>
      <c r="AO49" s="53"/>
      <c r="AP49" s="21" t="str">
        <f>IFERROR(VLOOKUP(September[[#This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21" t="str">
        <f>IFERROR(VLOOKUP(September[[#This Row],[Drug Name7]],'Data Options'!$R$1:$S$100,2,FALSE), " ")</f>
        <v xml:space="preserve"> </v>
      </c>
      <c r="AZ49" s="32"/>
      <c r="BA49" s="32"/>
      <c r="BB49" s="53"/>
      <c r="BC49" s="21" t="str">
        <f>IFERROR(VLOOKUP(September[[#This Row],[Drug Name8]],'Data Options'!$R$1:$S$100,2,FALSE), " ")</f>
        <v xml:space="preserve"> </v>
      </c>
      <c r="BD49" s="32"/>
      <c r="BE49" s="32"/>
      <c r="BF49" s="53"/>
      <c r="BG49" s="21" t="str">
        <f>IFERROR(VLOOKUP(September[[#This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21" t="str">
        <f>IFERROR(VLOOKUP(September[[#This Row],[Drug Name]],'Data Options'!$R$1:$S$100,2,FALSE), " ")</f>
        <v xml:space="preserve"> </v>
      </c>
      <c r="R50" s="32"/>
      <c r="S50" s="32"/>
      <c r="T50" s="53"/>
      <c r="U50" s="21" t="str">
        <f>IFERROR(VLOOKUP(September[[#This Row],[Drug Name2]],'Data Options'!$R$1:$S$100,2,FALSE), " ")</f>
        <v xml:space="preserve"> </v>
      </c>
      <c r="V50" s="32"/>
      <c r="W50" s="32"/>
      <c r="X50" s="53"/>
      <c r="Y50" s="21" t="str">
        <f>IFERROR(VLOOKUP(September[[#This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21" t="str">
        <f>IFERROR(VLOOKUP(September[[#This Row],[Drug Name4]],'Data Options'!$R$1:$S$100,2,FALSE), " ")</f>
        <v xml:space="preserve"> </v>
      </c>
      <c r="AI50" s="32"/>
      <c r="AJ50" s="32"/>
      <c r="AK50" s="53"/>
      <c r="AL50" s="21" t="str">
        <f>IFERROR(VLOOKUP(September[[#This Row],[Drug Name5]],'Data Options'!$R$1:$S$100,2,FALSE), " ")</f>
        <v xml:space="preserve"> </v>
      </c>
      <c r="AM50" s="32"/>
      <c r="AN50" s="32"/>
      <c r="AO50" s="53"/>
      <c r="AP50" s="21" t="str">
        <f>IFERROR(VLOOKUP(September[[#This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21" t="str">
        <f>IFERROR(VLOOKUP(September[[#This Row],[Drug Name7]],'Data Options'!$R$1:$S$100,2,FALSE), " ")</f>
        <v xml:space="preserve"> </v>
      </c>
      <c r="AZ50" s="32"/>
      <c r="BA50" s="32"/>
      <c r="BB50" s="53"/>
      <c r="BC50" s="21" t="str">
        <f>IFERROR(VLOOKUP(September[[#This Row],[Drug Name8]],'Data Options'!$R$1:$S$100,2,FALSE), " ")</f>
        <v xml:space="preserve"> </v>
      </c>
      <c r="BD50" s="32"/>
      <c r="BE50" s="32"/>
      <c r="BF50" s="53"/>
      <c r="BG50" s="21" t="str">
        <f>IFERROR(VLOOKUP(September[[#This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21" t="str">
        <f>IFERROR(VLOOKUP(September[[#This Row],[Drug Name]],'Data Options'!$R$1:$S$100,2,FALSE), " ")</f>
        <v xml:space="preserve"> </v>
      </c>
      <c r="R51" s="32"/>
      <c r="S51" s="32"/>
      <c r="T51" s="53"/>
      <c r="U51" s="21" t="str">
        <f>IFERROR(VLOOKUP(September[[#This Row],[Drug Name2]],'Data Options'!$R$1:$S$100,2,FALSE), " ")</f>
        <v xml:space="preserve"> </v>
      </c>
      <c r="V51" s="32"/>
      <c r="W51" s="32"/>
      <c r="X51" s="53"/>
      <c r="Y51" s="21" t="str">
        <f>IFERROR(VLOOKUP(September[[#This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21" t="str">
        <f>IFERROR(VLOOKUP(September[[#This Row],[Drug Name4]],'Data Options'!$R$1:$S$100,2,FALSE), " ")</f>
        <v xml:space="preserve"> </v>
      </c>
      <c r="AI51" s="32"/>
      <c r="AJ51" s="32"/>
      <c r="AK51" s="53"/>
      <c r="AL51" s="21" t="str">
        <f>IFERROR(VLOOKUP(September[[#This Row],[Drug Name5]],'Data Options'!$R$1:$S$100,2,FALSE), " ")</f>
        <v xml:space="preserve"> </v>
      </c>
      <c r="AM51" s="32"/>
      <c r="AN51" s="32"/>
      <c r="AO51" s="53"/>
      <c r="AP51" s="21" t="str">
        <f>IFERROR(VLOOKUP(September[[#This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21" t="str">
        <f>IFERROR(VLOOKUP(September[[#This Row],[Drug Name7]],'Data Options'!$R$1:$S$100,2,FALSE), " ")</f>
        <v xml:space="preserve"> </v>
      </c>
      <c r="AZ51" s="32"/>
      <c r="BA51" s="32"/>
      <c r="BB51" s="53"/>
      <c r="BC51" s="21" t="str">
        <f>IFERROR(VLOOKUP(September[[#This Row],[Drug Name8]],'Data Options'!$R$1:$S$100,2,FALSE), " ")</f>
        <v xml:space="preserve"> </v>
      </c>
      <c r="BD51" s="32"/>
      <c r="BE51" s="32"/>
      <c r="BF51" s="53"/>
      <c r="BG51" s="21" t="str">
        <f>IFERROR(VLOOKUP(September[[#This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21" t="str">
        <f>IFERROR(VLOOKUP(September[[#This Row],[Drug Name]],'Data Options'!$R$1:$S$100,2,FALSE), " ")</f>
        <v xml:space="preserve"> </v>
      </c>
      <c r="R52" s="32"/>
      <c r="S52" s="32"/>
      <c r="T52" s="53"/>
      <c r="U52" s="21" t="str">
        <f>IFERROR(VLOOKUP(September[[#This Row],[Drug Name2]],'Data Options'!$R$1:$S$100,2,FALSE), " ")</f>
        <v xml:space="preserve"> </v>
      </c>
      <c r="V52" s="32"/>
      <c r="W52" s="32"/>
      <c r="X52" s="53"/>
      <c r="Y52" s="21" t="str">
        <f>IFERROR(VLOOKUP(September[[#This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21" t="str">
        <f>IFERROR(VLOOKUP(September[[#This Row],[Drug Name4]],'Data Options'!$R$1:$S$100,2,FALSE), " ")</f>
        <v xml:space="preserve"> </v>
      </c>
      <c r="AI52" s="32"/>
      <c r="AJ52" s="32"/>
      <c r="AK52" s="53"/>
      <c r="AL52" s="21" t="str">
        <f>IFERROR(VLOOKUP(September[[#This Row],[Drug Name5]],'Data Options'!$R$1:$S$100,2,FALSE), " ")</f>
        <v xml:space="preserve"> </v>
      </c>
      <c r="AM52" s="32"/>
      <c r="AN52" s="32"/>
      <c r="AO52" s="53"/>
      <c r="AP52" s="21" t="str">
        <f>IFERROR(VLOOKUP(September[[#This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21" t="str">
        <f>IFERROR(VLOOKUP(September[[#This Row],[Drug Name7]],'Data Options'!$R$1:$S$100,2,FALSE), " ")</f>
        <v xml:space="preserve"> </v>
      </c>
      <c r="AZ52" s="32"/>
      <c r="BA52" s="32"/>
      <c r="BB52" s="53"/>
      <c r="BC52" s="21" t="str">
        <f>IFERROR(VLOOKUP(September[[#This Row],[Drug Name8]],'Data Options'!$R$1:$S$100,2,FALSE), " ")</f>
        <v xml:space="preserve"> </v>
      </c>
      <c r="BD52" s="32"/>
      <c r="BE52" s="32"/>
      <c r="BF52" s="53"/>
      <c r="BG52" s="21" t="str">
        <f>IFERROR(VLOOKUP(September[[#This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21" t="str">
        <f>IFERROR(VLOOKUP(September[[#This Row],[Drug Name]],'Data Options'!$R$1:$S$100,2,FALSE), " ")</f>
        <v xml:space="preserve"> </v>
      </c>
      <c r="R53" s="32"/>
      <c r="S53" s="32"/>
      <c r="T53" s="53"/>
      <c r="U53" s="21" t="str">
        <f>IFERROR(VLOOKUP(September[[#This Row],[Drug Name2]],'Data Options'!$R$1:$S$100,2,FALSE), " ")</f>
        <v xml:space="preserve"> </v>
      </c>
      <c r="V53" s="32"/>
      <c r="W53" s="32"/>
      <c r="X53" s="53"/>
      <c r="Y53" s="21" t="str">
        <f>IFERROR(VLOOKUP(September[[#This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21" t="str">
        <f>IFERROR(VLOOKUP(September[[#This Row],[Drug Name4]],'Data Options'!$R$1:$S$100,2,FALSE), " ")</f>
        <v xml:space="preserve"> </v>
      </c>
      <c r="AI53" s="32"/>
      <c r="AJ53" s="32"/>
      <c r="AK53" s="53"/>
      <c r="AL53" s="21" t="str">
        <f>IFERROR(VLOOKUP(September[[#This Row],[Drug Name5]],'Data Options'!$R$1:$S$100,2,FALSE), " ")</f>
        <v xml:space="preserve"> </v>
      </c>
      <c r="AM53" s="32"/>
      <c r="AN53" s="32"/>
      <c r="AO53" s="53"/>
      <c r="AP53" s="21" t="str">
        <f>IFERROR(VLOOKUP(September[[#This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21" t="str">
        <f>IFERROR(VLOOKUP(September[[#This Row],[Drug Name7]],'Data Options'!$R$1:$S$100,2,FALSE), " ")</f>
        <v xml:space="preserve"> </v>
      </c>
      <c r="AZ53" s="32"/>
      <c r="BA53" s="32"/>
      <c r="BB53" s="53"/>
      <c r="BC53" s="21" t="str">
        <f>IFERROR(VLOOKUP(September[[#This Row],[Drug Name8]],'Data Options'!$R$1:$S$100,2,FALSE), " ")</f>
        <v xml:space="preserve"> </v>
      </c>
      <c r="BD53" s="32"/>
      <c r="BE53" s="32"/>
      <c r="BF53" s="53"/>
      <c r="BG53" s="21" t="str">
        <f>IFERROR(VLOOKUP(September[[#This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21" t="str">
        <f>IFERROR(VLOOKUP(September[[#This Row],[Drug Name]],'Data Options'!$R$1:$S$100,2,FALSE), " ")</f>
        <v xml:space="preserve"> </v>
      </c>
      <c r="R54" s="32"/>
      <c r="S54" s="32"/>
      <c r="T54" s="53"/>
      <c r="U54" s="21" t="str">
        <f>IFERROR(VLOOKUP(September[[#This Row],[Drug Name2]],'Data Options'!$R$1:$S$100,2,FALSE), " ")</f>
        <v xml:space="preserve"> </v>
      </c>
      <c r="V54" s="32"/>
      <c r="W54" s="32"/>
      <c r="X54" s="53"/>
      <c r="Y54" s="21" t="str">
        <f>IFERROR(VLOOKUP(September[[#This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21" t="str">
        <f>IFERROR(VLOOKUP(September[[#This Row],[Drug Name4]],'Data Options'!$R$1:$S$100,2,FALSE), " ")</f>
        <v xml:space="preserve"> </v>
      </c>
      <c r="AI54" s="32"/>
      <c r="AJ54" s="32"/>
      <c r="AK54" s="53"/>
      <c r="AL54" s="21" t="str">
        <f>IFERROR(VLOOKUP(September[[#This Row],[Drug Name5]],'Data Options'!$R$1:$S$100,2,FALSE), " ")</f>
        <v xml:space="preserve"> </v>
      </c>
      <c r="AM54" s="32"/>
      <c r="AN54" s="32"/>
      <c r="AO54" s="53"/>
      <c r="AP54" s="21" t="str">
        <f>IFERROR(VLOOKUP(September[[#This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21" t="str">
        <f>IFERROR(VLOOKUP(September[[#This Row],[Drug Name7]],'Data Options'!$R$1:$S$100,2,FALSE), " ")</f>
        <v xml:space="preserve"> </v>
      </c>
      <c r="AZ54" s="32"/>
      <c r="BA54" s="32"/>
      <c r="BB54" s="53"/>
      <c r="BC54" s="21" t="str">
        <f>IFERROR(VLOOKUP(September[[#This Row],[Drug Name8]],'Data Options'!$R$1:$S$100,2,FALSE), " ")</f>
        <v xml:space="preserve"> </v>
      </c>
      <c r="BD54" s="32"/>
      <c r="BE54" s="32"/>
      <c r="BF54" s="53"/>
      <c r="BG54" s="21" t="str">
        <f>IFERROR(VLOOKUP(September[[#This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21" t="str">
        <f>IFERROR(VLOOKUP(September[[#This Row],[Drug Name]],'Data Options'!$R$1:$S$100,2,FALSE), " ")</f>
        <v xml:space="preserve"> </v>
      </c>
      <c r="R55" s="32"/>
      <c r="S55" s="32"/>
      <c r="T55" s="53"/>
      <c r="U55" s="21" t="str">
        <f>IFERROR(VLOOKUP(September[[#This Row],[Drug Name2]],'Data Options'!$R$1:$S$100,2,FALSE), " ")</f>
        <v xml:space="preserve"> </v>
      </c>
      <c r="V55" s="32"/>
      <c r="W55" s="32"/>
      <c r="X55" s="53"/>
      <c r="Y55" s="21" t="str">
        <f>IFERROR(VLOOKUP(September[[#This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21" t="str">
        <f>IFERROR(VLOOKUP(September[[#This Row],[Drug Name4]],'Data Options'!$R$1:$S$100,2,FALSE), " ")</f>
        <v xml:space="preserve"> </v>
      </c>
      <c r="AI55" s="32"/>
      <c r="AJ55" s="32"/>
      <c r="AK55" s="53"/>
      <c r="AL55" s="21" t="str">
        <f>IFERROR(VLOOKUP(September[[#This Row],[Drug Name5]],'Data Options'!$R$1:$S$100,2,FALSE), " ")</f>
        <v xml:space="preserve"> </v>
      </c>
      <c r="AM55" s="32"/>
      <c r="AN55" s="32"/>
      <c r="AO55" s="53"/>
      <c r="AP55" s="21" t="str">
        <f>IFERROR(VLOOKUP(September[[#This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21" t="str">
        <f>IFERROR(VLOOKUP(September[[#This Row],[Drug Name7]],'Data Options'!$R$1:$S$100,2,FALSE), " ")</f>
        <v xml:space="preserve"> </v>
      </c>
      <c r="AZ55" s="32"/>
      <c r="BA55" s="32"/>
      <c r="BB55" s="53"/>
      <c r="BC55" s="21" t="str">
        <f>IFERROR(VLOOKUP(September[[#This Row],[Drug Name8]],'Data Options'!$R$1:$S$100,2,FALSE), " ")</f>
        <v xml:space="preserve"> </v>
      </c>
      <c r="BD55" s="32"/>
      <c r="BE55" s="32"/>
      <c r="BF55" s="53"/>
      <c r="BG55" s="21" t="str">
        <f>IFERROR(VLOOKUP(September[[#This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21" t="str">
        <f>IFERROR(VLOOKUP(September[[#This Row],[Drug Name]],'Data Options'!$R$1:$S$100,2,FALSE), " ")</f>
        <v xml:space="preserve"> </v>
      </c>
      <c r="R56" s="32"/>
      <c r="S56" s="32"/>
      <c r="T56" s="53"/>
      <c r="U56" s="21" t="str">
        <f>IFERROR(VLOOKUP(September[[#This Row],[Drug Name2]],'Data Options'!$R$1:$S$100,2,FALSE), " ")</f>
        <v xml:space="preserve"> </v>
      </c>
      <c r="V56" s="32"/>
      <c r="W56" s="32"/>
      <c r="X56" s="53"/>
      <c r="Y56" s="21" t="str">
        <f>IFERROR(VLOOKUP(September[[#This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21" t="str">
        <f>IFERROR(VLOOKUP(September[[#This Row],[Drug Name4]],'Data Options'!$R$1:$S$100,2,FALSE), " ")</f>
        <v xml:space="preserve"> </v>
      </c>
      <c r="AI56" s="32"/>
      <c r="AJ56" s="32"/>
      <c r="AK56" s="53"/>
      <c r="AL56" s="21" t="str">
        <f>IFERROR(VLOOKUP(September[[#This Row],[Drug Name5]],'Data Options'!$R$1:$S$100,2,FALSE), " ")</f>
        <v xml:space="preserve"> </v>
      </c>
      <c r="AM56" s="32"/>
      <c r="AN56" s="32"/>
      <c r="AO56" s="53"/>
      <c r="AP56" s="21" t="str">
        <f>IFERROR(VLOOKUP(September[[#This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21" t="str">
        <f>IFERROR(VLOOKUP(September[[#This Row],[Drug Name7]],'Data Options'!$R$1:$S$100,2,FALSE), " ")</f>
        <v xml:space="preserve"> </v>
      </c>
      <c r="AZ56" s="32"/>
      <c r="BA56" s="32"/>
      <c r="BB56" s="53"/>
      <c r="BC56" s="21" t="str">
        <f>IFERROR(VLOOKUP(September[[#This Row],[Drug Name8]],'Data Options'!$R$1:$S$100,2,FALSE), " ")</f>
        <v xml:space="preserve"> </v>
      </c>
      <c r="BD56" s="32"/>
      <c r="BE56" s="32"/>
      <c r="BF56" s="53"/>
      <c r="BG56" s="21" t="str">
        <f>IFERROR(VLOOKUP(September[[#This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21" t="str">
        <f>IFERROR(VLOOKUP(September[[#This Row],[Drug Name]],'Data Options'!$R$1:$S$100,2,FALSE), " ")</f>
        <v xml:space="preserve"> </v>
      </c>
      <c r="R57" s="32"/>
      <c r="S57" s="32"/>
      <c r="T57" s="53"/>
      <c r="U57" s="21" t="str">
        <f>IFERROR(VLOOKUP(September[[#This Row],[Drug Name2]],'Data Options'!$R$1:$S$100,2,FALSE), " ")</f>
        <v xml:space="preserve"> </v>
      </c>
      <c r="V57" s="32"/>
      <c r="W57" s="32"/>
      <c r="X57" s="53"/>
      <c r="Y57" s="21" t="str">
        <f>IFERROR(VLOOKUP(September[[#This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21" t="str">
        <f>IFERROR(VLOOKUP(September[[#This Row],[Drug Name4]],'Data Options'!$R$1:$S$100,2,FALSE), " ")</f>
        <v xml:space="preserve"> </v>
      </c>
      <c r="AI57" s="32"/>
      <c r="AJ57" s="32"/>
      <c r="AK57" s="53"/>
      <c r="AL57" s="21" t="str">
        <f>IFERROR(VLOOKUP(September[[#This Row],[Drug Name5]],'Data Options'!$R$1:$S$100,2,FALSE), " ")</f>
        <v xml:space="preserve"> </v>
      </c>
      <c r="AM57" s="32"/>
      <c r="AN57" s="32"/>
      <c r="AO57" s="53"/>
      <c r="AP57" s="21" t="str">
        <f>IFERROR(VLOOKUP(September[[#This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21" t="str">
        <f>IFERROR(VLOOKUP(September[[#This Row],[Drug Name7]],'Data Options'!$R$1:$S$100,2,FALSE), " ")</f>
        <v xml:space="preserve"> </v>
      </c>
      <c r="AZ57" s="32"/>
      <c r="BA57" s="32"/>
      <c r="BB57" s="53"/>
      <c r="BC57" s="21" t="str">
        <f>IFERROR(VLOOKUP(September[[#This Row],[Drug Name8]],'Data Options'!$R$1:$S$100,2,FALSE), " ")</f>
        <v xml:space="preserve"> </v>
      </c>
      <c r="BD57" s="32"/>
      <c r="BE57" s="32"/>
      <c r="BF57" s="53"/>
      <c r="BG57" s="21" t="str">
        <f>IFERROR(VLOOKUP(September[[#This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21" t="str">
        <f>IFERROR(VLOOKUP(September[[#This Row],[Drug Name]],'Data Options'!$R$1:$S$100,2,FALSE), " ")</f>
        <v xml:space="preserve"> </v>
      </c>
      <c r="R58" s="32"/>
      <c r="S58" s="32"/>
      <c r="T58" s="53"/>
      <c r="U58" s="21" t="str">
        <f>IFERROR(VLOOKUP(September[[#This Row],[Drug Name2]],'Data Options'!$R$1:$S$100,2,FALSE), " ")</f>
        <v xml:space="preserve"> </v>
      </c>
      <c r="V58" s="32"/>
      <c r="W58" s="32"/>
      <c r="X58" s="53"/>
      <c r="Y58" s="21" t="str">
        <f>IFERROR(VLOOKUP(September[[#This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21" t="str">
        <f>IFERROR(VLOOKUP(September[[#This Row],[Drug Name4]],'Data Options'!$R$1:$S$100,2,FALSE), " ")</f>
        <v xml:space="preserve"> </v>
      </c>
      <c r="AI58" s="32"/>
      <c r="AJ58" s="32"/>
      <c r="AK58" s="53"/>
      <c r="AL58" s="21" t="str">
        <f>IFERROR(VLOOKUP(September[[#This Row],[Drug Name5]],'Data Options'!$R$1:$S$100,2,FALSE), " ")</f>
        <v xml:space="preserve"> </v>
      </c>
      <c r="AM58" s="32"/>
      <c r="AN58" s="32"/>
      <c r="AO58" s="53"/>
      <c r="AP58" s="21" t="str">
        <f>IFERROR(VLOOKUP(September[[#This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21" t="str">
        <f>IFERROR(VLOOKUP(September[[#This Row],[Drug Name7]],'Data Options'!$R$1:$S$100,2,FALSE), " ")</f>
        <v xml:space="preserve"> </v>
      </c>
      <c r="AZ58" s="32"/>
      <c r="BA58" s="32"/>
      <c r="BB58" s="53"/>
      <c r="BC58" s="21" t="str">
        <f>IFERROR(VLOOKUP(September[[#This Row],[Drug Name8]],'Data Options'!$R$1:$S$100,2,FALSE), " ")</f>
        <v xml:space="preserve"> </v>
      </c>
      <c r="BD58" s="32"/>
      <c r="BE58" s="32"/>
      <c r="BF58" s="53"/>
      <c r="BG58" s="21" t="str">
        <f>IFERROR(VLOOKUP(September[[#This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21" t="str">
        <f>IFERROR(VLOOKUP(September[[#This Row],[Drug Name]],'Data Options'!$R$1:$S$100,2,FALSE), " ")</f>
        <v xml:space="preserve"> </v>
      </c>
      <c r="R59" s="32"/>
      <c r="S59" s="32"/>
      <c r="T59" s="53"/>
      <c r="U59" s="21" t="str">
        <f>IFERROR(VLOOKUP(September[[#This Row],[Drug Name2]],'Data Options'!$R$1:$S$100,2,FALSE), " ")</f>
        <v xml:space="preserve"> </v>
      </c>
      <c r="V59" s="32"/>
      <c r="W59" s="32"/>
      <c r="X59" s="53"/>
      <c r="Y59" s="21" t="str">
        <f>IFERROR(VLOOKUP(September[[#This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21" t="str">
        <f>IFERROR(VLOOKUP(September[[#This Row],[Drug Name4]],'Data Options'!$R$1:$S$100,2,FALSE), " ")</f>
        <v xml:space="preserve"> </v>
      </c>
      <c r="AI59" s="32"/>
      <c r="AJ59" s="32"/>
      <c r="AK59" s="53"/>
      <c r="AL59" s="21" t="str">
        <f>IFERROR(VLOOKUP(September[[#This Row],[Drug Name5]],'Data Options'!$R$1:$S$100,2,FALSE), " ")</f>
        <v xml:space="preserve"> </v>
      </c>
      <c r="AM59" s="32"/>
      <c r="AN59" s="32"/>
      <c r="AO59" s="53"/>
      <c r="AP59" s="21" t="str">
        <f>IFERROR(VLOOKUP(September[[#This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21" t="str">
        <f>IFERROR(VLOOKUP(September[[#This Row],[Drug Name7]],'Data Options'!$R$1:$S$100,2,FALSE), " ")</f>
        <v xml:space="preserve"> </v>
      </c>
      <c r="AZ59" s="32"/>
      <c r="BA59" s="32"/>
      <c r="BB59" s="53"/>
      <c r="BC59" s="21" t="str">
        <f>IFERROR(VLOOKUP(September[[#This Row],[Drug Name8]],'Data Options'!$R$1:$S$100,2,FALSE), " ")</f>
        <v xml:space="preserve"> </v>
      </c>
      <c r="BD59" s="32"/>
      <c r="BE59" s="32"/>
      <c r="BF59" s="53"/>
      <c r="BG59" s="21" t="str">
        <f>IFERROR(VLOOKUP(September[[#This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21" t="str">
        <f>IFERROR(VLOOKUP(September[[#This Row],[Drug Name]],'Data Options'!$R$1:$S$100,2,FALSE), " ")</f>
        <v xml:space="preserve"> </v>
      </c>
      <c r="R60" s="32"/>
      <c r="S60" s="32"/>
      <c r="T60" s="53"/>
      <c r="U60" s="21" t="str">
        <f>IFERROR(VLOOKUP(September[[#This Row],[Drug Name2]],'Data Options'!$R$1:$S$100,2,FALSE), " ")</f>
        <v xml:space="preserve"> </v>
      </c>
      <c r="V60" s="32"/>
      <c r="W60" s="32"/>
      <c r="X60" s="53"/>
      <c r="Y60" s="21" t="str">
        <f>IFERROR(VLOOKUP(September[[#This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21" t="str">
        <f>IFERROR(VLOOKUP(September[[#This Row],[Drug Name4]],'Data Options'!$R$1:$S$100,2,FALSE), " ")</f>
        <v xml:space="preserve"> </v>
      </c>
      <c r="AI60" s="32"/>
      <c r="AJ60" s="32"/>
      <c r="AK60" s="53"/>
      <c r="AL60" s="21" t="str">
        <f>IFERROR(VLOOKUP(September[[#This Row],[Drug Name5]],'Data Options'!$R$1:$S$100,2,FALSE), " ")</f>
        <v xml:space="preserve"> </v>
      </c>
      <c r="AM60" s="32"/>
      <c r="AN60" s="32"/>
      <c r="AO60" s="53"/>
      <c r="AP60" s="21" t="str">
        <f>IFERROR(VLOOKUP(September[[#This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21" t="str">
        <f>IFERROR(VLOOKUP(September[[#This Row],[Drug Name7]],'Data Options'!$R$1:$S$100,2,FALSE), " ")</f>
        <v xml:space="preserve"> </v>
      </c>
      <c r="AZ60" s="32"/>
      <c r="BA60" s="32"/>
      <c r="BB60" s="53"/>
      <c r="BC60" s="21" t="str">
        <f>IFERROR(VLOOKUP(September[[#This Row],[Drug Name8]],'Data Options'!$R$1:$S$100,2,FALSE), " ")</f>
        <v xml:space="preserve"> </v>
      </c>
      <c r="BD60" s="32"/>
      <c r="BE60" s="32"/>
      <c r="BF60" s="53"/>
      <c r="BG60" s="21" t="str">
        <f>IFERROR(VLOOKUP(September[[#This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21" t="str">
        <f>IFERROR(VLOOKUP(September[[#This Row],[Drug Name]],'Data Options'!$R$1:$S$100,2,FALSE), " ")</f>
        <v xml:space="preserve"> </v>
      </c>
      <c r="R61" s="32"/>
      <c r="S61" s="32"/>
      <c r="T61" s="53"/>
      <c r="U61" s="21" t="str">
        <f>IFERROR(VLOOKUP(September[[#This Row],[Drug Name2]],'Data Options'!$R$1:$S$100,2,FALSE), " ")</f>
        <v xml:space="preserve"> </v>
      </c>
      <c r="V61" s="32"/>
      <c r="W61" s="32"/>
      <c r="X61" s="53"/>
      <c r="Y61" s="21" t="str">
        <f>IFERROR(VLOOKUP(September[[#This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21" t="str">
        <f>IFERROR(VLOOKUP(September[[#This Row],[Drug Name4]],'Data Options'!$R$1:$S$100,2,FALSE), " ")</f>
        <v xml:space="preserve"> </v>
      </c>
      <c r="AI61" s="32"/>
      <c r="AJ61" s="32"/>
      <c r="AK61" s="53"/>
      <c r="AL61" s="21" t="str">
        <f>IFERROR(VLOOKUP(September[[#This Row],[Drug Name5]],'Data Options'!$R$1:$S$100,2,FALSE), " ")</f>
        <v xml:space="preserve"> </v>
      </c>
      <c r="AM61" s="32"/>
      <c r="AN61" s="32"/>
      <c r="AO61" s="53"/>
      <c r="AP61" s="21" t="str">
        <f>IFERROR(VLOOKUP(September[[#This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21" t="str">
        <f>IFERROR(VLOOKUP(September[[#This Row],[Drug Name7]],'Data Options'!$R$1:$S$100,2,FALSE), " ")</f>
        <v xml:space="preserve"> </v>
      </c>
      <c r="AZ61" s="32"/>
      <c r="BA61" s="32"/>
      <c r="BB61" s="53"/>
      <c r="BC61" s="21" t="str">
        <f>IFERROR(VLOOKUP(September[[#This Row],[Drug Name8]],'Data Options'!$R$1:$S$100,2,FALSE), " ")</f>
        <v xml:space="preserve"> </v>
      </c>
      <c r="BD61" s="32"/>
      <c r="BE61" s="32"/>
      <c r="BF61" s="53"/>
      <c r="BG61" s="21" t="str">
        <f>IFERROR(VLOOKUP(September[[#This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21" t="str">
        <f>IFERROR(VLOOKUP(September[[#This Row],[Drug Name]],'Data Options'!$R$1:$S$100,2,FALSE), " ")</f>
        <v xml:space="preserve"> </v>
      </c>
      <c r="R62" s="32"/>
      <c r="S62" s="32"/>
      <c r="T62" s="53"/>
      <c r="U62" s="21" t="str">
        <f>IFERROR(VLOOKUP(September[[#This Row],[Drug Name2]],'Data Options'!$R$1:$S$100,2,FALSE), " ")</f>
        <v xml:space="preserve"> </v>
      </c>
      <c r="V62" s="32"/>
      <c r="W62" s="32"/>
      <c r="X62" s="53"/>
      <c r="Y62" s="21" t="str">
        <f>IFERROR(VLOOKUP(September[[#This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21" t="str">
        <f>IFERROR(VLOOKUP(September[[#This Row],[Drug Name4]],'Data Options'!$R$1:$S$100,2,FALSE), " ")</f>
        <v xml:space="preserve"> </v>
      </c>
      <c r="AI62" s="32"/>
      <c r="AJ62" s="32"/>
      <c r="AK62" s="53"/>
      <c r="AL62" s="21" t="str">
        <f>IFERROR(VLOOKUP(September[[#This Row],[Drug Name5]],'Data Options'!$R$1:$S$100,2,FALSE), " ")</f>
        <v xml:space="preserve"> </v>
      </c>
      <c r="AM62" s="32"/>
      <c r="AN62" s="32"/>
      <c r="AO62" s="53"/>
      <c r="AP62" s="21" t="str">
        <f>IFERROR(VLOOKUP(September[[#This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21" t="str">
        <f>IFERROR(VLOOKUP(September[[#This Row],[Drug Name7]],'Data Options'!$R$1:$S$100,2,FALSE), " ")</f>
        <v xml:space="preserve"> </v>
      </c>
      <c r="AZ62" s="32"/>
      <c r="BA62" s="32"/>
      <c r="BB62" s="53"/>
      <c r="BC62" s="21" t="str">
        <f>IFERROR(VLOOKUP(September[[#This Row],[Drug Name8]],'Data Options'!$R$1:$S$100,2,FALSE), " ")</f>
        <v xml:space="preserve"> </v>
      </c>
      <c r="BD62" s="32"/>
      <c r="BE62" s="32"/>
      <c r="BF62" s="53"/>
      <c r="BG62" s="21" t="str">
        <f>IFERROR(VLOOKUP(September[[#This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21" t="str">
        <f>IFERROR(VLOOKUP(September[[#This Row],[Drug Name]],'Data Options'!$R$1:$S$100,2,FALSE), " ")</f>
        <v xml:space="preserve"> </v>
      </c>
      <c r="R63" s="32"/>
      <c r="S63" s="32"/>
      <c r="T63" s="53"/>
      <c r="U63" s="21" t="str">
        <f>IFERROR(VLOOKUP(September[[#This Row],[Drug Name2]],'Data Options'!$R$1:$S$100,2,FALSE), " ")</f>
        <v xml:space="preserve"> </v>
      </c>
      <c r="V63" s="32"/>
      <c r="W63" s="32"/>
      <c r="X63" s="53"/>
      <c r="Y63" s="21" t="str">
        <f>IFERROR(VLOOKUP(September[[#This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21" t="str">
        <f>IFERROR(VLOOKUP(September[[#This Row],[Drug Name4]],'Data Options'!$R$1:$S$100,2,FALSE), " ")</f>
        <v xml:space="preserve"> </v>
      </c>
      <c r="AI63" s="32"/>
      <c r="AJ63" s="32"/>
      <c r="AK63" s="53"/>
      <c r="AL63" s="21" t="str">
        <f>IFERROR(VLOOKUP(September[[#This Row],[Drug Name5]],'Data Options'!$R$1:$S$100,2,FALSE), " ")</f>
        <v xml:space="preserve"> </v>
      </c>
      <c r="AM63" s="32"/>
      <c r="AN63" s="32"/>
      <c r="AO63" s="53"/>
      <c r="AP63" s="21" t="str">
        <f>IFERROR(VLOOKUP(September[[#This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21" t="str">
        <f>IFERROR(VLOOKUP(September[[#This Row],[Drug Name7]],'Data Options'!$R$1:$S$100,2,FALSE), " ")</f>
        <v xml:space="preserve"> </v>
      </c>
      <c r="AZ63" s="32"/>
      <c r="BA63" s="32"/>
      <c r="BB63" s="53"/>
      <c r="BC63" s="21" t="str">
        <f>IFERROR(VLOOKUP(September[[#This Row],[Drug Name8]],'Data Options'!$R$1:$S$100,2,FALSE), " ")</f>
        <v xml:space="preserve"> </v>
      </c>
      <c r="BD63" s="32"/>
      <c r="BE63" s="32"/>
      <c r="BF63" s="53"/>
      <c r="BG63" s="21" t="str">
        <f>IFERROR(VLOOKUP(September[[#This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21" t="str">
        <f>IFERROR(VLOOKUP(September[[#This Row],[Drug Name]],'Data Options'!$R$1:$S$100,2,FALSE), " ")</f>
        <v xml:space="preserve"> </v>
      </c>
      <c r="R64" s="32"/>
      <c r="S64" s="32"/>
      <c r="T64" s="53"/>
      <c r="U64" s="21" t="str">
        <f>IFERROR(VLOOKUP(September[[#This Row],[Drug Name2]],'Data Options'!$R$1:$S$100,2,FALSE), " ")</f>
        <v xml:space="preserve"> </v>
      </c>
      <c r="V64" s="32"/>
      <c r="W64" s="32"/>
      <c r="X64" s="53"/>
      <c r="Y64" s="21" t="str">
        <f>IFERROR(VLOOKUP(September[[#This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21" t="str">
        <f>IFERROR(VLOOKUP(September[[#This Row],[Drug Name4]],'Data Options'!$R$1:$S$100,2,FALSE), " ")</f>
        <v xml:space="preserve"> </v>
      </c>
      <c r="AI64" s="32"/>
      <c r="AJ64" s="32"/>
      <c r="AK64" s="53"/>
      <c r="AL64" s="21" t="str">
        <f>IFERROR(VLOOKUP(September[[#This Row],[Drug Name5]],'Data Options'!$R$1:$S$100,2,FALSE), " ")</f>
        <v xml:space="preserve"> </v>
      </c>
      <c r="AM64" s="32"/>
      <c r="AN64" s="32"/>
      <c r="AO64" s="53"/>
      <c r="AP64" s="21" t="str">
        <f>IFERROR(VLOOKUP(September[[#This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21" t="str">
        <f>IFERROR(VLOOKUP(September[[#This Row],[Drug Name7]],'Data Options'!$R$1:$S$100,2,FALSE), " ")</f>
        <v xml:space="preserve"> </v>
      </c>
      <c r="AZ64" s="32"/>
      <c r="BA64" s="32"/>
      <c r="BB64" s="53"/>
      <c r="BC64" s="21" t="str">
        <f>IFERROR(VLOOKUP(September[[#This Row],[Drug Name8]],'Data Options'!$R$1:$S$100,2,FALSE), " ")</f>
        <v xml:space="preserve"> </v>
      </c>
      <c r="BD64" s="32"/>
      <c r="BE64" s="32"/>
      <c r="BF64" s="53"/>
      <c r="BG64" s="21" t="str">
        <f>IFERROR(VLOOKUP(September[[#This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21" t="str">
        <f>IFERROR(VLOOKUP(September[[#This Row],[Drug Name]],'Data Options'!$R$1:$S$100,2,FALSE), " ")</f>
        <v xml:space="preserve"> </v>
      </c>
      <c r="R65" s="32"/>
      <c r="S65" s="32"/>
      <c r="T65" s="53"/>
      <c r="U65" s="21" t="str">
        <f>IFERROR(VLOOKUP(September[[#This Row],[Drug Name2]],'Data Options'!$R$1:$S$100,2,FALSE), " ")</f>
        <v xml:space="preserve"> </v>
      </c>
      <c r="V65" s="32"/>
      <c r="W65" s="32"/>
      <c r="X65" s="53"/>
      <c r="Y65" s="21" t="str">
        <f>IFERROR(VLOOKUP(September[[#This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21" t="str">
        <f>IFERROR(VLOOKUP(September[[#This Row],[Drug Name4]],'Data Options'!$R$1:$S$100,2,FALSE), " ")</f>
        <v xml:space="preserve"> </v>
      </c>
      <c r="AI65" s="32"/>
      <c r="AJ65" s="32"/>
      <c r="AK65" s="53"/>
      <c r="AL65" s="21" t="str">
        <f>IFERROR(VLOOKUP(September[[#This Row],[Drug Name5]],'Data Options'!$R$1:$S$100,2,FALSE), " ")</f>
        <v xml:space="preserve"> </v>
      </c>
      <c r="AM65" s="32"/>
      <c r="AN65" s="32"/>
      <c r="AO65" s="53"/>
      <c r="AP65" s="21" t="str">
        <f>IFERROR(VLOOKUP(September[[#This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21" t="str">
        <f>IFERROR(VLOOKUP(September[[#This Row],[Drug Name7]],'Data Options'!$R$1:$S$100,2,FALSE), " ")</f>
        <v xml:space="preserve"> </v>
      </c>
      <c r="AZ65" s="32"/>
      <c r="BA65" s="32"/>
      <c r="BB65" s="53"/>
      <c r="BC65" s="21" t="str">
        <f>IFERROR(VLOOKUP(September[[#This Row],[Drug Name8]],'Data Options'!$R$1:$S$100,2,FALSE), " ")</f>
        <v xml:space="preserve"> </v>
      </c>
      <c r="BD65" s="32"/>
      <c r="BE65" s="32"/>
      <c r="BF65" s="53"/>
      <c r="BG65" s="21" t="str">
        <f>IFERROR(VLOOKUP(September[[#This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21" t="str">
        <f>IFERROR(VLOOKUP(September[[#This Row],[Drug Name]],'Data Options'!$R$1:$S$100,2,FALSE), " ")</f>
        <v xml:space="preserve"> </v>
      </c>
      <c r="R66" s="32"/>
      <c r="S66" s="32"/>
      <c r="T66" s="53"/>
      <c r="U66" s="21" t="str">
        <f>IFERROR(VLOOKUP(September[[#This Row],[Drug Name2]],'Data Options'!$R$1:$S$100,2,FALSE), " ")</f>
        <v xml:space="preserve"> </v>
      </c>
      <c r="V66" s="32"/>
      <c r="W66" s="32"/>
      <c r="X66" s="53"/>
      <c r="Y66" s="21" t="str">
        <f>IFERROR(VLOOKUP(September[[#This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21" t="str">
        <f>IFERROR(VLOOKUP(September[[#This Row],[Drug Name4]],'Data Options'!$R$1:$S$100,2,FALSE), " ")</f>
        <v xml:space="preserve"> </v>
      </c>
      <c r="AI66" s="32"/>
      <c r="AJ66" s="32"/>
      <c r="AK66" s="53"/>
      <c r="AL66" s="21" t="str">
        <f>IFERROR(VLOOKUP(September[[#This Row],[Drug Name5]],'Data Options'!$R$1:$S$100,2,FALSE), " ")</f>
        <v xml:space="preserve"> </v>
      </c>
      <c r="AM66" s="32"/>
      <c r="AN66" s="32"/>
      <c r="AO66" s="53"/>
      <c r="AP66" s="21" t="str">
        <f>IFERROR(VLOOKUP(September[[#This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21" t="str">
        <f>IFERROR(VLOOKUP(September[[#This Row],[Drug Name7]],'Data Options'!$R$1:$S$100,2,FALSE), " ")</f>
        <v xml:space="preserve"> </v>
      </c>
      <c r="AZ66" s="32"/>
      <c r="BA66" s="32"/>
      <c r="BB66" s="53"/>
      <c r="BC66" s="21" t="str">
        <f>IFERROR(VLOOKUP(September[[#This Row],[Drug Name8]],'Data Options'!$R$1:$S$100,2,FALSE), " ")</f>
        <v xml:space="preserve"> </v>
      </c>
      <c r="BD66" s="32"/>
      <c r="BE66" s="32"/>
      <c r="BF66" s="53"/>
      <c r="BG66" s="21" t="str">
        <f>IFERROR(VLOOKUP(September[[#This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21" t="str">
        <f>IFERROR(VLOOKUP(September[[#This Row],[Drug Name]],'Data Options'!$R$1:$S$100,2,FALSE), " ")</f>
        <v xml:space="preserve"> </v>
      </c>
      <c r="R67" s="32"/>
      <c r="S67" s="32"/>
      <c r="T67" s="53"/>
      <c r="U67" s="21" t="str">
        <f>IFERROR(VLOOKUP(September[[#This Row],[Drug Name2]],'Data Options'!$R$1:$S$100,2,FALSE), " ")</f>
        <v xml:space="preserve"> </v>
      </c>
      <c r="V67" s="32"/>
      <c r="W67" s="32"/>
      <c r="X67" s="53"/>
      <c r="Y67" s="21" t="str">
        <f>IFERROR(VLOOKUP(September[[#This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21" t="str">
        <f>IFERROR(VLOOKUP(September[[#This Row],[Drug Name4]],'Data Options'!$R$1:$S$100,2,FALSE), " ")</f>
        <v xml:space="preserve"> </v>
      </c>
      <c r="AI67" s="32"/>
      <c r="AJ67" s="32"/>
      <c r="AK67" s="53"/>
      <c r="AL67" s="21" t="str">
        <f>IFERROR(VLOOKUP(September[[#This Row],[Drug Name5]],'Data Options'!$R$1:$S$100,2,FALSE), " ")</f>
        <v xml:space="preserve"> </v>
      </c>
      <c r="AM67" s="32"/>
      <c r="AN67" s="32"/>
      <c r="AO67" s="53"/>
      <c r="AP67" s="21" t="str">
        <f>IFERROR(VLOOKUP(September[[#This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21" t="str">
        <f>IFERROR(VLOOKUP(September[[#This Row],[Drug Name7]],'Data Options'!$R$1:$S$100,2,FALSE), " ")</f>
        <v xml:space="preserve"> </v>
      </c>
      <c r="AZ67" s="32"/>
      <c r="BA67" s="32"/>
      <c r="BB67" s="53"/>
      <c r="BC67" s="21" t="str">
        <f>IFERROR(VLOOKUP(September[[#This Row],[Drug Name8]],'Data Options'!$R$1:$S$100,2,FALSE), " ")</f>
        <v xml:space="preserve"> </v>
      </c>
      <c r="BD67" s="32"/>
      <c r="BE67" s="32"/>
      <c r="BF67" s="53"/>
      <c r="BG67" s="21" t="str">
        <f>IFERROR(VLOOKUP(September[[#This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21" t="str">
        <f>IFERROR(VLOOKUP(September[[#This Row],[Drug Name]],'Data Options'!$R$1:$S$100,2,FALSE), " ")</f>
        <v xml:space="preserve"> </v>
      </c>
      <c r="R68" s="32"/>
      <c r="S68" s="32"/>
      <c r="T68" s="53"/>
      <c r="U68" s="21" t="str">
        <f>IFERROR(VLOOKUP(September[[#This Row],[Drug Name2]],'Data Options'!$R$1:$S$100,2,FALSE), " ")</f>
        <v xml:space="preserve"> </v>
      </c>
      <c r="V68" s="32"/>
      <c r="W68" s="32"/>
      <c r="X68" s="53"/>
      <c r="Y68" s="21" t="str">
        <f>IFERROR(VLOOKUP(September[[#This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21" t="str">
        <f>IFERROR(VLOOKUP(September[[#This Row],[Drug Name4]],'Data Options'!$R$1:$S$100,2,FALSE), " ")</f>
        <v xml:space="preserve"> </v>
      </c>
      <c r="AI68" s="32"/>
      <c r="AJ68" s="32"/>
      <c r="AK68" s="53"/>
      <c r="AL68" s="21" t="str">
        <f>IFERROR(VLOOKUP(September[[#This Row],[Drug Name5]],'Data Options'!$R$1:$S$100,2,FALSE), " ")</f>
        <v xml:space="preserve"> </v>
      </c>
      <c r="AM68" s="32"/>
      <c r="AN68" s="32"/>
      <c r="AO68" s="53"/>
      <c r="AP68" s="21" t="str">
        <f>IFERROR(VLOOKUP(September[[#This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21" t="str">
        <f>IFERROR(VLOOKUP(September[[#This Row],[Drug Name7]],'Data Options'!$R$1:$S$100,2,FALSE), " ")</f>
        <v xml:space="preserve"> </v>
      </c>
      <c r="AZ68" s="32"/>
      <c r="BA68" s="32"/>
      <c r="BB68" s="53"/>
      <c r="BC68" s="21" t="str">
        <f>IFERROR(VLOOKUP(September[[#This Row],[Drug Name8]],'Data Options'!$R$1:$S$100,2,FALSE), " ")</f>
        <v xml:space="preserve"> </v>
      </c>
      <c r="BD68" s="32"/>
      <c r="BE68" s="32"/>
      <c r="BF68" s="53"/>
      <c r="BG68" s="21" t="str">
        <f>IFERROR(VLOOKUP(September[[#This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21" t="str">
        <f>IFERROR(VLOOKUP(September[[#This Row],[Drug Name]],'Data Options'!$R$1:$S$100,2,FALSE), " ")</f>
        <v xml:space="preserve"> </v>
      </c>
      <c r="R69" s="32"/>
      <c r="S69" s="32"/>
      <c r="T69" s="53"/>
      <c r="U69" s="21" t="str">
        <f>IFERROR(VLOOKUP(September[[#This Row],[Drug Name2]],'Data Options'!$R$1:$S$100,2,FALSE), " ")</f>
        <v xml:space="preserve"> </v>
      </c>
      <c r="V69" s="32"/>
      <c r="W69" s="32"/>
      <c r="X69" s="53"/>
      <c r="Y69" s="21" t="str">
        <f>IFERROR(VLOOKUP(September[[#This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21" t="str">
        <f>IFERROR(VLOOKUP(September[[#This Row],[Drug Name4]],'Data Options'!$R$1:$S$100,2,FALSE), " ")</f>
        <v xml:space="preserve"> </v>
      </c>
      <c r="AI69" s="32"/>
      <c r="AJ69" s="32"/>
      <c r="AK69" s="53"/>
      <c r="AL69" s="21" t="str">
        <f>IFERROR(VLOOKUP(September[[#This Row],[Drug Name5]],'Data Options'!$R$1:$S$100,2,FALSE), " ")</f>
        <v xml:space="preserve"> </v>
      </c>
      <c r="AM69" s="32"/>
      <c r="AN69" s="32"/>
      <c r="AO69" s="53"/>
      <c r="AP69" s="21" t="str">
        <f>IFERROR(VLOOKUP(September[[#This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21" t="str">
        <f>IFERROR(VLOOKUP(September[[#This Row],[Drug Name7]],'Data Options'!$R$1:$S$100,2,FALSE), " ")</f>
        <v xml:space="preserve"> </v>
      </c>
      <c r="AZ69" s="32"/>
      <c r="BA69" s="32"/>
      <c r="BB69" s="53"/>
      <c r="BC69" s="21" t="str">
        <f>IFERROR(VLOOKUP(September[[#This Row],[Drug Name8]],'Data Options'!$R$1:$S$100,2,FALSE), " ")</f>
        <v xml:space="preserve"> </v>
      </c>
      <c r="BD69" s="32"/>
      <c r="BE69" s="32"/>
      <c r="BF69" s="53"/>
      <c r="BG69" s="21" t="str">
        <f>IFERROR(VLOOKUP(September[[#This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21" t="str">
        <f>IFERROR(VLOOKUP(September[[#This Row],[Drug Name]],'Data Options'!$R$1:$S$100,2,FALSE), " ")</f>
        <v xml:space="preserve"> </v>
      </c>
      <c r="R70" s="32"/>
      <c r="S70" s="32"/>
      <c r="T70" s="53"/>
      <c r="U70" s="21" t="str">
        <f>IFERROR(VLOOKUP(September[[#This Row],[Drug Name2]],'Data Options'!$R$1:$S$100,2,FALSE), " ")</f>
        <v xml:space="preserve"> </v>
      </c>
      <c r="V70" s="32"/>
      <c r="W70" s="32"/>
      <c r="X70" s="53"/>
      <c r="Y70" s="21" t="str">
        <f>IFERROR(VLOOKUP(September[[#This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21" t="str">
        <f>IFERROR(VLOOKUP(September[[#This Row],[Drug Name4]],'Data Options'!$R$1:$S$100,2,FALSE), " ")</f>
        <v xml:space="preserve"> </v>
      </c>
      <c r="AI70" s="32"/>
      <c r="AJ70" s="32"/>
      <c r="AK70" s="53"/>
      <c r="AL70" s="21" t="str">
        <f>IFERROR(VLOOKUP(September[[#This Row],[Drug Name5]],'Data Options'!$R$1:$S$100,2,FALSE), " ")</f>
        <v xml:space="preserve"> </v>
      </c>
      <c r="AM70" s="32"/>
      <c r="AN70" s="32"/>
      <c r="AO70" s="53"/>
      <c r="AP70" s="21" t="str">
        <f>IFERROR(VLOOKUP(September[[#This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21" t="str">
        <f>IFERROR(VLOOKUP(September[[#This Row],[Drug Name7]],'Data Options'!$R$1:$S$100,2,FALSE), " ")</f>
        <v xml:space="preserve"> </v>
      </c>
      <c r="AZ70" s="32"/>
      <c r="BA70" s="32"/>
      <c r="BB70" s="53"/>
      <c r="BC70" s="21" t="str">
        <f>IFERROR(VLOOKUP(September[[#This Row],[Drug Name8]],'Data Options'!$R$1:$S$100,2,FALSE), " ")</f>
        <v xml:space="preserve"> </v>
      </c>
      <c r="BD70" s="32"/>
      <c r="BE70" s="32"/>
      <c r="BF70" s="53"/>
      <c r="BG70" s="21" t="str">
        <f>IFERROR(VLOOKUP(September[[#This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21" t="str">
        <f>IFERROR(VLOOKUP(September[[#This Row],[Drug Name]],'Data Options'!$R$1:$S$100,2,FALSE), " ")</f>
        <v xml:space="preserve"> </v>
      </c>
      <c r="R71" s="32"/>
      <c r="S71" s="32"/>
      <c r="T71" s="53"/>
      <c r="U71" s="21" t="str">
        <f>IFERROR(VLOOKUP(September[[#This Row],[Drug Name2]],'Data Options'!$R$1:$S$100,2,FALSE), " ")</f>
        <v xml:space="preserve"> </v>
      </c>
      <c r="V71" s="32"/>
      <c r="W71" s="32"/>
      <c r="X71" s="53"/>
      <c r="Y71" s="21" t="str">
        <f>IFERROR(VLOOKUP(September[[#This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21" t="str">
        <f>IFERROR(VLOOKUP(September[[#This Row],[Drug Name4]],'Data Options'!$R$1:$S$100,2,FALSE), " ")</f>
        <v xml:space="preserve"> </v>
      </c>
      <c r="AI71" s="32"/>
      <c r="AJ71" s="32"/>
      <c r="AK71" s="53"/>
      <c r="AL71" s="21" t="str">
        <f>IFERROR(VLOOKUP(September[[#This Row],[Drug Name5]],'Data Options'!$R$1:$S$100,2,FALSE), " ")</f>
        <v xml:space="preserve"> </v>
      </c>
      <c r="AM71" s="32"/>
      <c r="AN71" s="32"/>
      <c r="AO71" s="53"/>
      <c r="AP71" s="21" t="str">
        <f>IFERROR(VLOOKUP(September[[#This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21" t="str">
        <f>IFERROR(VLOOKUP(September[[#This Row],[Drug Name7]],'Data Options'!$R$1:$S$100,2,FALSE), " ")</f>
        <v xml:space="preserve"> </v>
      </c>
      <c r="AZ71" s="32"/>
      <c r="BA71" s="32"/>
      <c r="BB71" s="53"/>
      <c r="BC71" s="21" t="str">
        <f>IFERROR(VLOOKUP(September[[#This Row],[Drug Name8]],'Data Options'!$R$1:$S$100,2,FALSE), " ")</f>
        <v xml:space="preserve"> </v>
      </c>
      <c r="BD71" s="32"/>
      <c r="BE71" s="32"/>
      <c r="BF71" s="53"/>
      <c r="BG71" s="21" t="str">
        <f>IFERROR(VLOOKUP(September[[#This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21" t="str">
        <f>IFERROR(VLOOKUP(September[[#This Row],[Drug Name]],'Data Options'!$R$1:$S$100,2,FALSE), " ")</f>
        <v xml:space="preserve"> </v>
      </c>
      <c r="R72" s="32"/>
      <c r="S72" s="32"/>
      <c r="T72" s="53"/>
      <c r="U72" s="21" t="str">
        <f>IFERROR(VLOOKUP(September[[#This Row],[Drug Name2]],'Data Options'!$R$1:$S$100,2,FALSE), " ")</f>
        <v xml:space="preserve"> </v>
      </c>
      <c r="V72" s="32"/>
      <c r="W72" s="32"/>
      <c r="X72" s="53"/>
      <c r="Y72" s="21" t="str">
        <f>IFERROR(VLOOKUP(September[[#This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21" t="str">
        <f>IFERROR(VLOOKUP(September[[#This Row],[Drug Name4]],'Data Options'!$R$1:$S$100,2,FALSE), " ")</f>
        <v xml:space="preserve"> </v>
      </c>
      <c r="AI72" s="32"/>
      <c r="AJ72" s="32"/>
      <c r="AK72" s="53"/>
      <c r="AL72" s="21" t="str">
        <f>IFERROR(VLOOKUP(September[[#This Row],[Drug Name5]],'Data Options'!$R$1:$S$100,2,FALSE), " ")</f>
        <v xml:space="preserve"> </v>
      </c>
      <c r="AM72" s="32"/>
      <c r="AN72" s="32"/>
      <c r="AO72" s="53"/>
      <c r="AP72" s="21" t="str">
        <f>IFERROR(VLOOKUP(September[[#This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21" t="str">
        <f>IFERROR(VLOOKUP(September[[#This Row],[Drug Name7]],'Data Options'!$R$1:$S$100,2,FALSE), " ")</f>
        <v xml:space="preserve"> </v>
      </c>
      <c r="AZ72" s="32"/>
      <c r="BA72" s="32"/>
      <c r="BB72" s="53"/>
      <c r="BC72" s="21" t="str">
        <f>IFERROR(VLOOKUP(September[[#This Row],[Drug Name8]],'Data Options'!$R$1:$S$100,2,FALSE), " ")</f>
        <v xml:space="preserve"> </v>
      </c>
      <c r="BD72" s="32"/>
      <c r="BE72" s="32"/>
      <c r="BF72" s="53"/>
      <c r="BG72" s="21" t="str">
        <f>IFERROR(VLOOKUP(September[[#This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21" t="str">
        <f>IFERROR(VLOOKUP(September[[#This Row],[Drug Name]],'Data Options'!$R$1:$S$100,2,FALSE), " ")</f>
        <v xml:space="preserve"> </v>
      </c>
      <c r="R73" s="32"/>
      <c r="S73" s="32"/>
      <c r="T73" s="53"/>
      <c r="U73" s="21" t="str">
        <f>IFERROR(VLOOKUP(September[[#This Row],[Drug Name2]],'Data Options'!$R$1:$S$100,2,FALSE), " ")</f>
        <v xml:space="preserve"> </v>
      </c>
      <c r="V73" s="32"/>
      <c r="W73" s="32"/>
      <c r="X73" s="53"/>
      <c r="Y73" s="21" t="str">
        <f>IFERROR(VLOOKUP(September[[#This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21" t="str">
        <f>IFERROR(VLOOKUP(September[[#This Row],[Drug Name4]],'Data Options'!$R$1:$S$100,2,FALSE), " ")</f>
        <v xml:space="preserve"> </v>
      </c>
      <c r="AI73" s="32"/>
      <c r="AJ73" s="32"/>
      <c r="AK73" s="53"/>
      <c r="AL73" s="21" t="str">
        <f>IFERROR(VLOOKUP(September[[#This Row],[Drug Name5]],'Data Options'!$R$1:$S$100,2,FALSE), " ")</f>
        <v xml:space="preserve"> </v>
      </c>
      <c r="AM73" s="32"/>
      <c r="AN73" s="32"/>
      <c r="AO73" s="53"/>
      <c r="AP73" s="21" t="str">
        <f>IFERROR(VLOOKUP(September[[#This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21" t="str">
        <f>IFERROR(VLOOKUP(September[[#This Row],[Drug Name7]],'Data Options'!$R$1:$S$100,2,FALSE), " ")</f>
        <v xml:space="preserve"> </v>
      </c>
      <c r="AZ73" s="32"/>
      <c r="BA73" s="32"/>
      <c r="BB73" s="53"/>
      <c r="BC73" s="21" t="str">
        <f>IFERROR(VLOOKUP(September[[#This Row],[Drug Name8]],'Data Options'!$R$1:$S$100,2,FALSE), " ")</f>
        <v xml:space="preserve"> </v>
      </c>
      <c r="BD73" s="32"/>
      <c r="BE73" s="32"/>
      <c r="BF73" s="53"/>
      <c r="BG73" s="21" t="str">
        <f>IFERROR(VLOOKUP(September[[#This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21" t="str">
        <f>IFERROR(VLOOKUP(September[[#This Row],[Drug Name]],'Data Options'!$R$1:$S$100,2,FALSE), " ")</f>
        <v xml:space="preserve"> </v>
      </c>
      <c r="R74" s="32"/>
      <c r="S74" s="32"/>
      <c r="T74" s="53"/>
      <c r="U74" s="21" t="str">
        <f>IFERROR(VLOOKUP(September[[#This Row],[Drug Name2]],'Data Options'!$R$1:$S$100,2,FALSE), " ")</f>
        <v xml:space="preserve"> </v>
      </c>
      <c r="V74" s="32"/>
      <c r="W74" s="32"/>
      <c r="X74" s="53"/>
      <c r="Y74" s="21" t="str">
        <f>IFERROR(VLOOKUP(September[[#This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21" t="str">
        <f>IFERROR(VLOOKUP(September[[#This Row],[Drug Name4]],'Data Options'!$R$1:$S$100,2,FALSE), " ")</f>
        <v xml:space="preserve"> </v>
      </c>
      <c r="AI74" s="32"/>
      <c r="AJ74" s="32"/>
      <c r="AK74" s="53"/>
      <c r="AL74" s="21" t="str">
        <f>IFERROR(VLOOKUP(September[[#This Row],[Drug Name5]],'Data Options'!$R$1:$S$100,2,FALSE), " ")</f>
        <v xml:space="preserve"> </v>
      </c>
      <c r="AM74" s="32"/>
      <c r="AN74" s="32"/>
      <c r="AO74" s="53"/>
      <c r="AP74" s="21" t="str">
        <f>IFERROR(VLOOKUP(September[[#This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21" t="str">
        <f>IFERROR(VLOOKUP(September[[#This Row],[Drug Name7]],'Data Options'!$R$1:$S$100,2,FALSE), " ")</f>
        <v xml:space="preserve"> </v>
      </c>
      <c r="AZ74" s="32"/>
      <c r="BA74" s="32"/>
      <c r="BB74" s="53"/>
      <c r="BC74" s="21" t="str">
        <f>IFERROR(VLOOKUP(September[[#This Row],[Drug Name8]],'Data Options'!$R$1:$S$100,2,FALSE), " ")</f>
        <v xml:space="preserve"> </v>
      </c>
      <c r="BD74" s="32"/>
      <c r="BE74" s="32"/>
      <c r="BF74" s="53"/>
      <c r="BG74" s="21" t="str">
        <f>IFERROR(VLOOKUP(September[[#This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21" t="str">
        <f>IFERROR(VLOOKUP(September[[#This Row],[Drug Name]],'Data Options'!$R$1:$S$100,2,FALSE), " ")</f>
        <v xml:space="preserve"> </v>
      </c>
      <c r="R75" s="32"/>
      <c r="S75" s="32"/>
      <c r="T75" s="53"/>
      <c r="U75" s="21" t="str">
        <f>IFERROR(VLOOKUP(September[[#This Row],[Drug Name2]],'Data Options'!$R$1:$S$100,2,FALSE), " ")</f>
        <v xml:space="preserve"> </v>
      </c>
      <c r="V75" s="32"/>
      <c r="W75" s="32"/>
      <c r="X75" s="53"/>
      <c r="Y75" s="21" t="str">
        <f>IFERROR(VLOOKUP(September[[#This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21" t="str">
        <f>IFERROR(VLOOKUP(September[[#This Row],[Drug Name4]],'Data Options'!$R$1:$S$100,2,FALSE), " ")</f>
        <v xml:space="preserve"> </v>
      </c>
      <c r="AI75" s="32"/>
      <c r="AJ75" s="32"/>
      <c r="AK75" s="53"/>
      <c r="AL75" s="21" t="str">
        <f>IFERROR(VLOOKUP(September[[#This Row],[Drug Name5]],'Data Options'!$R$1:$S$100,2,FALSE), " ")</f>
        <v xml:space="preserve"> </v>
      </c>
      <c r="AM75" s="32"/>
      <c r="AN75" s="32"/>
      <c r="AO75" s="53"/>
      <c r="AP75" s="21" t="str">
        <f>IFERROR(VLOOKUP(September[[#This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21" t="str">
        <f>IFERROR(VLOOKUP(September[[#This Row],[Drug Name7]],'Data Options'!$R$1:$S$100,2,FALSE), " ")</f>
        <v xml:space="preserve"> </v>
      </c>
      <c r="AZ75" s="32"/>
      <c r="BA75" s="32"/>
      <c r="BB75" s="53"/>
      <c r="BC75" s="21" t="str">
        <f>IFERROR(VLOOKUP(September[[#This Row],[Drug Name8]],'Data Options'!$R$1:$S$100,2,FALSE), " ")</f>
        <v xml:space="preserve"> </v>
      </c>
      <c r="BD75" s="32"/>
      <c r="BE75" s="32"/>
      <c r="BF75" s="53"/>
      <c r="BG75" s="21" t="str">
        <f>IFERROR(VLOOKUP(September[[#This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21" t="str">
        <f>IFERROR(VLOOKUP(September[[#This Row],[Drug Name]],'Data Options'!$R$1:$S$100,2,FALSE), " ")</f>
        <v xml:space="preserve"> </v>
      </c>
      <c r="R76" s="32"/>
      <c r="S76" s="32"/>
      <c r="T76" s="53"/>
      <c r="U76" s="21" t="str">
        <f>IFERROR(VLOOKUP(September[[#This Row],[Drug Name2]],'Data Options'!$R$1:$S$100,2,FALSE), " ")</f>
        <v xml:space="preserve"> </v>
      </c>
      <c r="V76" s="32"/>
      <c r="W76" s="32"/>
      <c r="X76" s="53"/>
      <c r="Y76" s="21" t="str">
        <f>IFERROR(VLOOKUP(September[[#This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21" t="str">
        <f>IFERROR(VLOOKUP(September[[#This Row],[Drug Name4]],'Data Options'!$R$1:$S$100,2,FALSE), " ")</f>
        <v xml:space="preserve"> </v>
      </c>
      <c r="AI76" s="32"/>
      <c r="AJ76" s="32"/>
      <c r="AK76" s="53"/>
      <c r="AL76" s="21" t="str">
        <f>IFERROR(VLOOKUP(September[[#This Row],[Drug Name5]],'Data Options'!$R$1:$S$100,2,FALSE), " ")</f>
        <v xml:space="preserve"> </v>
      </c>
      <c r="AM76" s="32"/>
      <c r="AN76" s="32"/>
      <c r="AO76" s="53"/>
      <c r="AP76" s="21" t="str">
        <f>IFERROR(VLOOKUP(September[[#This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21" t="str">
        <f>IFERROR(VLOOKUP(September[[#This Row],[Drug Name7]],'Data Options'!$R$1:$S$100,2,FALSE), " ")</f>
        <v xml:space="preserve"> </v>
      </c>
      <c r="AZ76" s="32"/>
      <c r="BA76" s="32"/>
      <c r="BB76" s="53"/>
      <c r="BC76" s="21" t="str">
        <f>IFERROR(VLOOKUP(September[[#This Row],[Drug Name8]],'Data Options'!$R$1:$S$100,2,FALSE), " ")</f>
        <v xml:space="preserve"> </v>
      </c>
      <c r="BD76" s="32"/>
      <c r="BE76" s="32"/>
      <c r="BF76" s="53"/>
      <c r="BG76" s="21" t="str">
        <f>IFERROR(VLOOKUP(September[[#This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21" t="str">
        <f>IFERROR(VLOOKUP(September[[#This Row],[Drug Name]],'Data Options'!$R$1:$S$100,2,FALSE), " ")</f>
        <v xml:space="preserve"> </v>
      </c>
      <c r="R77" s="32"/>
      <c r="S77" s="32"/>
      <c r="T77" s="53"/>
      <c r="U77" s="21" t="str">
        <f>IFERROR(VLOOKUP(September[[#This Row],[Drug Name2]],'Data Options'!$R$1:$S$100,2,FALSE), " ")</f>
        <v xml:space="preserve"> </v>
      </c>
      <c r="V77" s="32"/>
      <c r="W77" s="32"/>
      <c r="X77" s="53"/>
      <c r="Y77" s="21" t="str">
        <f>IFERROR(VLOOKUP(September[[#This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21" t="str">
        <f>IFERROR(VLOOKUP(September[[#This Row],[Drug Name4]],'Data Options'!$R$1:$S$100,2,FALSE), " ")</f>
        <v xml:space="preserve"> </v>
      </c>
      <c r="AI77" s="32"/>
      <c r="AJ77" s="32"/>
      <c r="AK77" s="53"/>
      <c r="AL77" s="21" t="str">
        <f>IFERROR(VLOOKUP(September[[#This Row],[Drug Name5]],'Data Options'!$R$1:$S$100,2,FALSE), " ")</f>
        <v xml:space="preserve"> </v>
      </c>
      <c r="AM77" s="32"/>
      <c r="AN77" s="32"/>
      <c r="AO77" s="53"/>
      <c r="AP77" s="21" t="str">
        <f>IFERROR(VLOOKUP(September[[#This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21" t="str">
        <f>IFERROR(VLOOKUP(September[[#This Row],[Drug Name7]],'Data Options'!$R$1:$S$100,2,FALSE), " ")</f>
        <v xml:space="preserve"> </v>
      </c>
      <c r="AZ77" s="32"/>
      <c r="BA77" s="32"/>
      <c r="BB77" s="53"/>
      <c r="BC77" s="21" t="str">
        <f>IFERROR(VLOOKUP(September[[#This Row],[Drug Name8]],'Data Options'!$R$1:$S$100,2,FALSE), " ")</f>
        <v xml:space="preserve"> </v>
      </c>
      <c r="BD77" s="32"/>
      <c r="BE77" s="32"/>
      <c r="BF77" s="53"/>
      <c r="BG77" s="21" t="str">
        <f>IFERROR(VLOOKUP(September[[#This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21" t="str">
        <f>IFERROR(VLOOKUP(September[[#This Row],[Drug Name]],'Data Options'!$R$1:$S$100,2,FALSE), " ")</f>
        <v xml:space="preserve"> </v>
      </c>
      <c r="R78" s="32"/>
      <c r="S78" s="32"/>
      <c r="T78" s="53"/>
      <c r="U78" s="21" t="str">
        <f>IFERROR(VLOOKUP(September[[#This Row],[Drug Name2]],'Data Options'!$R$1:$S$100,2,FALSE), " ")</f>
        <v xml:space="preserve"> </v>
      </c>
      <c r="V78" s="32"/>
      <c r="W78" s="32"/>
      <c r="X78" s="53"/>
      <c r="Y78" s="21" t="str">
        <f>IFERROR(VLOOKUP(September[[#This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21" t="str">
        <f>IFERROR(VLOOKUP(September[[#This Row],[Drug Name4]],'Data Options'!$R$1:$S$100,2,FALSE), " ")</f>
        <v xml:space="preserve"> </v>
      </c>
      <c r="AI78" s="32"/>
      <c r="AJ78" s="32"/>
      <c r="AK78" s="53"/>
      <c r="AL78" s="21" t="str">
        <f>IFERROR(VLOOKUP(September[[#This Row],[Drug Name5]],'Data Options'!$R$1:$S$100,2,FALSE), " ")</f>
        <v xml:space="preserve"> </v>
      </c>
      <c r="AM78" s="32"/>
      <c r="AN78" s="32"/>
      <c r="AO78" s="53"/>
      <c r="AP78" s="21" t="str">
        <f>IFERROR(VLOOKUP(September[[#This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21" t="str">
        <f>IFERROR(VLOOKUP(September[[#This Row],[Drug Name7]],'Data Options'!$R$1:$S$100,2,FALSE), " ")</f>
        <v xml:space="preserve"> </v>
      </c>
      <c r="AZ78" s="32"/>
      <c r="BA78" s="32"/>
      <c r="BB78" s="53"/>
      <c r="BC78" s="21" t="str">
        <f>IFERROR(VLOOKUP(September[[#This Row],[Drug Name8]],'Data Options'!$R$1:$S$100,2,FALSE), " ")</f>
        <v xml:space="preserve"> </v>
      </c>
      <c r="BD78" s="32"/>
      <c r="BE78" s="32"/>
      <c r="BF78" s="53"/>
      <c r="BG78" s="21" t="str">
        <f>IFERROR(VLOOKUP(September[[#This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21" t="str">
        <f>IFERROR(VLOOKUP(September[[#This Row],[Drug Name]],'Data Options'!$R$1:$S$100,2,FALSE), " ")</f>
        <v xml:space="preserve"> </v>
      </c>
      <c r="R79" s="32"/>
      <c r="S79" s="32"/>
      <c r="T79" s="53"/>
      <c r="U79" s="21" t="str">
        <f>IFERROR(VLOOKUP(September[[#This Row],[Drug Name2]],'Data Options'!$R$1:$S$100,2,FALSE), " ")</f>
        <v xml:space="preserve"> </v>
      </c>
      <c r="V79" s="32"/>
      <c r="W79" s="32"/>
      <c r="X79" s="53"/>
      <c r="Y79" s="21" t="str">
        <f>IFERROR(VLOOKUP(September[[#This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21" t="str">
        <f>IFERROR(VLOOKUP(September[[#This Row],[Drug Name4]],'Data Options'!$R$1:$S$100,2,FALSE), " ")</f>
        <v xml:space="preserve"> </v>
      </c>
      <c r="AI79" s="32"/>
      <c r="AJ79" s="32"/>
      <c r="AK79" s="53"/>
      <c r="AL79" s="21" t="str">
        <f>IFERROR(VLOOKUP(September[[#This Row],[Drug Name5]],'Data Options'!$R$1:$S$100,2,FALSE), " ")</f>
        <v xml:space="preserve"> </v>
      </c>
      <c r="AM79" s="32"/>
      <c r="AN79" s="32"/>
      <c r="AO79" s="53"/>
      <c r="AP79" s="21" t="str">
        <f>IFERROR(VLOOKUP(September[[#This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21" t="str">
        <f>IFERROR(VLOOKUP(September[[#This Row],[Drug Name7]],'Data Options'!$R$1:$S$100,2,FALSE), " ")</f>
        <v xml:space="preserve"> </v>
      </c>
      <c r="AZ79" s="32"/>
      <c r="BA79" s="32"/>
      <c r="BB79" s="53"/>
      <c r="BC79" s="21" t="str">
        <f>IFERROR(VLOOKUP(September[[#This Row],[Drug Name8]],'Data Options'!$R$1:$S$100,2,FALSE), " ")</f>
        <v xml:space="preserve"> </v>
      </c>
      <c r="BD79" s="32"/>
      <c r="BE79" s="32"/>
      <c r="BF79" s="53"/>
      <c r="BG79" s="21" t="str">
        <f>IFERROR(VLOOKUP(September[[#This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21" t="str">
        <f>IFERROR(VLOOKUP(September[[#This Row],[Drug Name]],'Data Options'!$R$1:$S$100,2,FALSE), " ")</f>
        <v xml:space="preserve"> </v>
      </c>
      <c r="R80" s="32"/>
      <c r="S80" s="32"/>
      <c r="T80" s="53"/>
      <c r="U80" s="21" t="str">
        <f>IFERROR(VLOOKUP(September[[#This Row],[Drug Name2]],'Data Options'!$R$1:$S$100,2,FALSE), " ")</f>
        <v xml:space="preserve"> </v>
      </c>
      <c r="V80" s="32"/>
      <c r="W80" s="32"/>
      <c r="X80" s="53"/>
      <c r="Y80" s="21" t="str">
        <f>IFERROR(VLOOKUP(September[[#This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21" t="str">
        <f>IFERROR(VLOOKUP(September[[#This Row],[Drug Name4]],'Data Options'!$R$1:$S$100,2,FALSE), " ")</f>
        <v xml:space="preserve"> </v>
      </c>
      <c r="AI80" s="32"/>
      <c r="AJ80" s="32"/>
      <c r="AK80" s="53"/>
      <c r="AL80" s="21" t="str">
        <f>IFERROR(VLOOKUP(September[[#This Row],[Drug Name5]],'Data Options'!$R$1:$S$100,2,FALSE), " ")</f>
        <v xml:space="preserve"> </v>
      </c>
      <c r="AM80" s="32"/>
      <c r="AN80" s="32"/>
      <c r="AO80" s="53"/>
      <c r="AP80" s="21" t="str">
        <f>IFERROR(VLOOKUP(September[[#This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21" t="str">
        <f>IFERROR(VLOOKUP(September[[#This Row],[Drug Name7]],'Data Options'!$R$1:$S$100,2,FALSE), " ")</f>
        <v xml:space="preserve"> </v>
      </c>
      <c r="AZ80" s="32"/>
      <c r="BA80" s="32"/>
      <c r="BB80" s="53"/>
      <c r="BC80" s="21" t="str">
        <f>IFERROR(VLOOKUP(September[[#This Row],[Drug Name8]],'Data Options'!$R$1:$S$100,2,FALSE), " ")</f>
        <v xml:space="preserve"> </v>
      </c>
      <c r="BD80" s="32"/>
      <c r="BE80" s="32"/>
      <c r="BF80" s="53"/>
      <c r="BG80" s="21" t="str">
        <f>IFERROR(VLOOKUP(September[[#This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21" t="str">
        <f>IFERROR(VLOOKUP(September[[#This Row],[Drug Name]],'Data Options'!$R$1:$S$100,2,FALSE), " ")</f>
        <v xml:space="preserve"> </v>
      </c>
      <c r="R81" s="32"/>
      <c r="S81" s="32"/>
      <c r="T81" s="53"/>
      <c r="U81" s="21" t="str">
        <f>IFERROR(VLOOKUP(September[[#This Row],[Drug Name2]],'Data Options'!$R$1:$S$100,2,FALSE), " ")</f>
        <v xml:space="preserve"> </v>
      </c>
      <c r="V81" s="32"/>
      <c r="W81" s="32"/>
      <c r="X81" s="53"/>
      <c r="Y81" s="21" t="str">
        <f>IFERROR(VLOOKUP(September[[#This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21" t="str">
        <f>IFERROR(VLOOKUP(September[[#This Row],[Drug Name4]],'Data Options'!$R$1:$S$100,2,FALSE), " ")</f>
        <v xml:space="preserve"> </v>
      </c>
      <c r="AI81" s="32"/>
      <c r="AJ81" s="32"/>
      <c r="AK81" s="53"/>
      <c r="AL81" s="21" t="str">
        <f>IFERROR(VLOOKUP(September[[#This Row],[Drug Name5]],'Data Options'!$R$1:$S$100,2,FALSE), " ")</f>
        <v xml:space="preserve"> </v>
      </c>
      <c r="AM81" s="32"/>
      <c r="AN81" s="32"/>
      <c r="AO81" s="53"/>
      <c r="AP81" s="21" t="str">
        <f>IFERROR(VLOOKUP(September[[#This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21" t="str">
        <f>IFERROR(VLOOKUP(September[[#This Row],[Drug Name7]],'Data Options'!$R$1:$S$100,2,FALSE), " ")</f>
        <v xml:space="preserve"> </v>
      </c>
      <c r="AZ81" s="32"/>
      <c r="BA81" s="32"/>
      <c r="BB81" s="53"/>
      <c r="BC81" s="21" t="str">
        <f>IFERROR(VLOOKUP(September[[#This Row],[Drug Name8]],'Data Options'!$R$1:$S$100,2,FALSE), " ")</f>
        <v xml:space="preserve"> </v>
      </c>
      <c r="BD81" s="32"/>
      <c r="BE81" s="32"/>
      <c r="BF81" s="53"/>
      <c r="BG81" s="21" t="str">
        <f>IFERROR(VLOOKUP(September[[#This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21" t="str">
        <f>IFERROR(VLOOKUP(September[[#This Row],[Drug Name]],'Data Options'!$R$1:$S$100,2,FALSE), " ")</f>
        <v xml:space="preserve"> </v>
      </c>
      <c r="R82" s="32"/>
      <c r="S82" s="32"/>
      <c r="T82" s="53"/>
      <c r="U82" s="21" t="str">
        <f>IFERROR(VLOOKUP(September[[#This Row],[Drug Name2]],'Data Options'!$R$1:$S$100,2,FALSE), " ")</f>
        <v xml:space="preserve"> </v>
      </c>
      <c r="V82" s="32"/>
      <c r="W82" s="32"/>
      <c r="X82" s="53"/>
      <c r="Y82" s="21" t="str">
        <f>IFERROR(VLOOKUP(September[[#This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21" t="str">
        <f>IFERROR(VLOOKUP(September[[#This Row],[Drug Name4]],'Data Options'!$R$1:$S$100,2,FALSE), " ")</f>
        <v xml:space="preserve"> </v>
      </c>
      <c r="AI82" s="32"/>
      <c r="AJ82" s="32"/>
      <c r="AK82" s="53"/>
      <c r="AL82" s="21" t="str">
        <f>IFERROR(VLOOKUP(September[[#This Row],[Drug Name5]],'Data Options'!$R$1:$S$100,2,FALSE), " ")</f>
        <v xml:space="preserve"> </v>
      </c>
      <c r="AM82" s="32"/>
      <c r="AN82" s="32"/>
      <c r="AO82" s="53"/>
      <c r="AP82" s="21" t="str">
        <f>IFERROR(VLOOKUP(September[[#This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21" t="str">
        <f>IFERROR(VLOOKUP(September[[#This Row],[Drug Name7]],'Data Options'!$R$1:$S$100,2,FALSE), " ")</f>
        <v xml:space="preserve"> </v>
      </c>
      <c r="AZ82" s="32"/>
      <c r="BA82" s="32"/>
      <c r="BB82" s="53"/>
      <c r="BC82" s="21" t="str">
        <f>IFERROR(VLOOKUP(September[[#This Row],[Drug Name8]],'Data Options'!$R$1:$S$100,2,FALSE), " ")</f>
        <v xml:space="preserve"> </v>
      </c>
      <c r="BD82" s="32"/>
      <c r="BE82" s="32"/>
      <c r="BF82" s="53"/>
      <c r="BG82" s="21" t="str">
        <f>IFERROR(VLOOKUP(September[[#This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21" t="str">
        <f>IFERROR(VLOOKUP(September[[#This Row],[Drug Name]],'Data Options'!$R$1:$S$100,2,FALSE), " ")</f>
        <v xml:space="preserve"> </v>
      </c>
      <c r="R83" s="32"/>
      <c r="S83" s="32"/>
      <c r="T83" s="53"/>
      <c r="U83" s="21" t="str">
        <f>IFERROR(VLOOKUP(September[[#This Row],[Drug Name2]],'Data Options'!$R$1:$S$100,2,FALSE), " ")</f>
        <v xml:space="preserve"> </v>
      </c>
      <c r="V83" s="32"/>
      <c r="W83" s="32"/>
      <c r="X83" s="53"/>
      <c r="Y83" s="21" t="str">
        <f>IFERROR(VLOOKUP(September[[#This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21" t="str">
        <f>IFERROR(VLOOKUP(September[[#This Row],[Drug Name4]],'Data Options'!$R$1:$S$100,2,FALSE), " ")</f>
        <v xml:space="preserve"> </v>
      </c>
      <c r="AI83" s="32"/>
      <c r="AJ83" s="32"/>
      <c r="AK83" s="53"/>
      <c r="AL83" s="21" t="str">
        <f>IFERROR(VLOOKUP(September[[#This Row],[Drug Name5]],'Data Options'!$R$1:$S$100,2,FALSE), " ")</f>
        <v xml:space="preserve"> </v>
      </c>
      <c r="AM83" s="32"/>
      <c r="AN83" s="32"/>
      <c r="AO83" s="53"/>
      <c r="AP83" s="21" t="str">
        <f>IFERROR(VLOOKUP(September[[#This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21" t="str">
        <f>IFERROR(VLOOKUP(September[[#This Row],[Drug Name7]],'Data Options'!$R$1:$S$100,2,FALSE), " ")</f>
        <v xml:space="preserve"> </v>
      </c>
      <c r="AZ83" s="32"/>
      <c r="BA83" s="32"/>
      <c r="BB83" s="53"/>
      <c r="BC83" s="21" t="str">
        <f>IFERROR(VLOOKUP(September[[#This Row],[Drug Name8]],'Data Options'!$R$1:$S$100,2,FALSE), " ")</f>
        <v xml:space="preserve"> </v>
      </c>
      <c r="BD83" s="32"/>
      <c r="BE83" s="32"/>
      <c r="BF83" s="53"/>
      <c r="BG83" s="21" t="str">
        <f>IFERROR(VLOOKUP(September[[#This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21" t="str">
        <f>IFERROR(VLOOKUP(September[[#This Row],[Drug Name]],'Data Options'!$R$1:$S$100,2,FALSE), " ")</f>
        <v xml:space="preserve"> </v>
      </c>
      <c r="R84" s="32"/>
      <c r="S84" s="32"/>
      <c r="T84" s="53"/>
      <c r="U84" s="21" t="str">
        <f>IFERROR(VLOOKUP(September[[#This Row],[Drug Name2]],'Data Options'!$R$1:$S$100,2,FALSE), " ")</f>
        <v xml:space="preserve"> </v>
      </c>
      <c r="V84" s="32"/>
      <c r="W84" s="32"/>
      <c r="X84" s="53"/>
      <c r="Y84" s="21" t="str">
        <f>IFERROR(VLOOKUP(September[[#This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21" t="str">
        <f>IFERROR(VLOOKUP(September[[#This Row],[Drug Name4]],'Data Options'!$R$1:$S$100,2,FALSE), " ")</f>
        <v xml:space="preserve"> </v>
      </c>
      <c r="AI84" s="32"/>
      <c r="AJ84" s="32"/>
      <c r="AK84" s="53"/>
      <c r="AL84" s="21" t="str">
        <f>IFERROR(VLOOKUP(September[[#This Row],[Drug Name5]],'Data Options'!$R$1:$S$100,2,FALSE), " ")</f>
        <v xml:space="preserve"> </v>
      </c>
      <c r="AM84" s="32"/>
      <c r="AN84" s="32"/>
      <c r="AO84" s="53"/>
      <c r="AP84" s="21" t="str">
        <f>IFERROR(VLOOKUP(September[[#This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21" t="str">
        <f>IFERROR(VLOOKUP(September[[#This Row],[Drug Name7]],'Data Options'!$R$1:$S$100,2,FALSE), " ")</f>
        <v xml:space="preserve"> </v>
      </c>
      <c r="AZ84" s="32"/>
      <c r="BA84" s="32"/>
      <c r="BB84" s="53"/>
      <c r="BC84" s="21" t="str">
        <f>IFERROR(VLOOKUP(September[[#This Row],[Drug Name8]],'Data Options'!$R$1:$S$100,2,FALSE), " ")</f>
        <v xml:space="preserve"> </v>
      </c>
      <c r="BD84" s="32"/>
      <c r="BE84" s="32"/>
      <c r="BF84" s="53"/>
      <c r="BG84" s="21" t="str">
        <f>IFERROR(VLOOKUP(September[[#This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21" t="str">
        <f>IFERROR(VLOOKUP(September[[#This Row],[Drug Name]],'Data Options'!$R$1:$S$100,2,FALSE), " ")</f>
        <v xml:space="preserve"> </v>
      </c>
      <c r="R85" s="32"/>
      <c r="S85" s="32"/>
      <c r="T85" s="53"/>
      <c r="U85" s="21" t="str">
        <f>IFERROR(VLOOKUP(September[[#This Row],[Drug Name2]],'Data Options'!$R$1:$S$100,2,FALSE), " ")</f>
        <v xml:space="preserve"> </v>
      </c>
      <c r="V85" s="32"/>
      <c r="W85" s="32"/>
      <c r="X85" s="53"/>
      <c r="Y85" s="21" t="str">
        <f>IFERROR(VLOOKUP(September[[#This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21" t="str">
        <f>IFERROR(VLOOKUP(September[[#This Row],[Drug Name4]],'Data Options'!$R$1:$S$100,2,FALSE), " ")</f>
        <v xml:space="preserve"> </v>
      </c>
      <c r="AI85" s="32"/>
      <c r="AJ85" s="32"/>
      <c r="AK85" s="53"/>
      <c r="AL85" s="21" t="str">
        <f>IFERROR(VLOOKUP(September[[#This Row],[Drug Name5]],'Data Options'!$R$1:$S$100,2,FALSE), " ")</f>
        <v xml:space="preserve"> </v>
      </c>
      <c r="AM85" s="32"/>
      <c r="AN85" s="32"/>
      <c r="AO85" s="53"/>
      <c r="AP85" s="21" t="str">
        <f>IFERROR(VLOOKUP(September[[#This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21" t="str">
        <f>IFERROR(VLOOKUP(September[[#This Row],[Drug Name7]],'Data Options'!$R$1:$S$100,2,FALSE), " ")</f>
        <v xml:space="preserve"> </v>
      </c>
      <c r="AZ85" s="32"/>
      <c r="BA85" s="32"/>
      <c r="BB85" s="53"/>
      <c r="BC85" s="21" t="str">
        <f>IFERROR(VLOOKUP(September[[#This Row],[Drug Name8]],'Data Options'!$R$1:$S$100,2,FALSE), " ")</f>
        <v xml:space="preserve"> </v>
      </c>
      <c r="BD85" s="32"/>
      <c r="BE85" s="32"/>
      <c r="BF85" s="53"/>
      <c r="BG85" s="21" t="str">
        <f>IFERROR(VLOOKUP(September[[#This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21" t="str">
        <f>IFERROR(VLOOKUP(September[[#This Row],[Drug Name]],'Data Options'!$R$1:$S$100,2,FALSE), " ")</f>
        <v xml:space="preserve"> </v>
      </c>
      <c r="R86" s="32"/>
      <c r="S86" s="32"/>
      <c r="T86" s="53"/>
      <c r="U86" s="21" t="str">
        <f>IFERROR(VLOOKUP(September[[#This Row],[Drug Name2]],'Data Options'!$R$1:$S$100,2,FALSE), " ")</f>
        <v xml:space="preserve"> </v>
      </c>
      <c r="V86" s="32"/>
      <c r="W86" s="32"/>
      <c r="X86" s="53"/>
      <c r="Y86" s="21" t="str">
        <f>IFERROR(VLOOKUP(September[[#This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21" t="str">
        <f>IFERROR(VLOOKUP(September[[#This Row],[Drug Name4]],'Data Options'!$R$1:$S$100,2,FALSE), " ")</f>
        <v xml:space="preserve"> </v>
      </c>
      <c r="AI86" s="32"/>
      <c r="AJ86" s="32"/>
      <c r="AK86" s="53"/>
      <c r="AL86" s="21" t="str">
        <f>IFERROR(VLOOKUP(September[[#This Row],[Drug Name5]],'Data Options'!$R$1:$S$100,2,FALSE), " ")</f>
        <v xml:space="preserve"> </v>
      </c>
      <c r="AM86" s="32"/>
      <c r="AN86" s="32"/>
      <c r="AO86" s="53"/>
      <c r="AP86" s="21" t="str">
        <f>IFERROR(VLOOKUP(September[[#This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21" t="str">
        <f>IFERROR(VLOOKUP(September[[#This Row],[Drug Name7]],'Data Options'!$R$1:$S$100,2,FALSE), " ")</f>
        <v xml:space="preserve"> </v>
      </c>
      <c r="AZ86" s="32"/>
      <c r="BA86" s="32"/>
      <c r="BB86" s="53"/>
      <c r="BC86" s="21" t="str">
        <f>IFERROR(VLOOKUP(September[[#This Row],[Drug Name8]],'Data Options'!$R$1:$S$100,2,FALSE), " ")</f>
        <v xml:space="preserve"> </v>
      </c>
      <c r="BD86" s="32"/>
      <c r="BE86" s="32"/>
      <c r="BF86" s="53"/>
      <c r="BG86" s="21" t="str">
        <f>IFERROR(VLOOKUP(September[[#This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21" t="str">
        <f>IFERROR(VLOOKUP(September[[#This Row],[Drug Name]],'Data Options'!$R$1:$S$100,2,FALSE), " ")</f>
        <v xml:space="preserve"> </v>
      </c>
      <c r="R87" s="32"/>
      <c r="S87" s="32"/>
      <c r="T87" s="53"/>
      <c r="U87" s="21" t="str">
        <f>IFERROR(VLOOKUP(September[[#This Row],[Drug Name2]],'Data Options'!$R$1:$S$100,2,FALSE), " ")</f>
        <v xml:space="preserve"> </v>
      </c>
      <c r="V87" s="32"/>
      <c r="W87" s="32"/>
      <c r="X87" s="53"/>
      <c r="Y87" s="21" t="str">
        <f>IFERROR(VLOOKUP(September[[#This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21" t="str">
        <f>IFERROR(VLOOKUP(September[[#This Row],[Drug Name4]],'Data Options'!$R$1:$S$100,2,FALSE), " ")</f>
        <v xml:space="preserve"> </v>
      </c>
      <c r="AI87" s="32"/>
      <c r="AJ87" s="32"/>
      <c r="AK87" s="53"/>
      <c r="AL87" s="21" t="str">
        <f>IFERROR(VLOOKUP(September[[#This Row],[Drug Name5]],'Data Options'!$R$1:$S$100,2,FALSE), " ")</f>
        <v xml:space="preserve"> </v>
      </c>
      <c r="AM87" s="32"/>
      <c r="AN87" s="32"/>
      <c r="AO87" s="53"/>
      <c r="AP87" s="21" t="str">
        <f>IFERROR(VLOOKUP(September[[#This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21" t="str">
        <f>IFERROR(VLOOKUP(September[[#This Row],[Drug Name7]],'Data Options'!$R$1:$S$100,2,FALSE), " ")</f>
        <v xml:space="preserve"> </v>
      </c>
      <c r="AZ87" s="32"/>
      <c r="BA87" s="32"/>
      <c r="BB87" s="53"/>
      <c r="BC87" s="21" t="str">
        <f>IFERROR(VLOOKUP(September[[#This Row],[Drug Name8]],'Data Options'!$R$1:$S$100,2,FALSE), " ")</f>
        <v xml:space="preserve"> </v>
      </c>
      <c r="BD87" s="32"/>
      <c r="BE87" s="32"/>
      <c r="BF87" s="53"/>
      <c r="BG87" s="21" t="str">
        <f>IFERROR(VLOOKUP(September[[#This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21" t="str">
        <f>IFERROR(VLOOKUP(September[[#This Row],[Drug Name]],'Data Options'!$R$1:$S$100,2,FALSE), " ")</f>
        <v xml:space="preserve"> </v>
      </c>
      <c r="R88" s="32"/>
      <c r="S88" s="32"/>
      <c r="T88" s="53"/>
      <c r="U88" s="21" t="str">
        <f>IFERROR(VLOOKUP(September[[#This Row],[Drug Name2]],'Data Options'!$R$1:$S$100,2,FALSE), " ")</f>
        <v xml:space="preserve"> </v>
      </c>
      <c r="V88" s="32"/>
      <c r="W88" s="32"/>
      <c r="X88" s="53"/>
      <c r="Y88" s="21" t="str">
        <f>IFERROR(VLOOKUP(September[[#This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21" t="str">
        <f>IFERROR(VLOOKUP(September[[#This Row],[Drug Name4]],'Data Options'!$R$1:$S$100,2,FALSE), " ")</f>
        <v xml:space="preserve"> </v>
      </c>
      <c r="AI88" s="32"/>
      <c r="AJ88" s="32"/>
      <c r="AK88" s="53"/>
      <c r="AL88" s="21" t="str">
        <f>IFERROR(VLOOKUP(September[[#This Row],[Drug Name5]],'Data Options'!$R$1:$S$100,2,FALSE), " ")</f>
        <v xml:space="preserve"> </v>
      </c>
      <c r="AM88" s="32"/>
      <c r="AN88" s="32"/>
      <c r="AO88" s="53"/>
      <c r="AP88" s="21" t="str">
        <f>IFERROR(VLOOKUP(September[[#This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21" t="str">
        <f>IFERROR(VLOOKUP(September[[#This Row],[Drug Name7]],'Data Options'!$R$1:$S$100,2,FALSE), " ")</f>
        <v xml:space="preserve"> </v>
      </c>
      <c r="AZ88" s="32"/>
      <c r="BA88" s="32"/>
      <c r="BB88" s="53"/>
      <c r="BC88" s="21" t="str">
        <f>IFERROR(VLOOKUP(September[[#This Row],[Drug Name8]],'Data Options'!$R$1:$S$100,2,FALSE), " ")</f>
        <v xml:space="preserve"> </v>
      </c>
      <c r="BD88" s="32"/>
      <c r="BE88" s="32"/>
      <c r="BF88" s="53"/>
      <c r="BG88" s="21" t="str">
        <f>IFERROR(VLOOKUP(September[[#This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21" t="str">
        <f>IFERROR(VLOOKUP(September[[#This Row],[Drug Name]],'Data Options'!$R$1:$S$100,2,FALSE), " ")</f>
        <v xml:space="preserve"> </v>
      </c>
      <c r="R89" s="32"/>
      <c r="S89" s="32"/>
      <c r="T89" s="53"/>
      <c r="U89" s="21" t="str">
        <f>IFERROR(VLOOKUP(September[[#This Row],[Drug Name2]],'Data Options'!$R$1:$S$100,2,FALSE), " ")</f>
        <v xml:space="preserve"> </v>
      </c>
      <c r="V89" s="32"/>
      <c r="W89" s="32"/>
      <c r="X89" s="53"/>
      <c r="Y89" s="21" t="str">
        <f>IFERROR(VLOOKUP(September[[#This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21" t="str">
        <f>IFERROR(VLOOKUP(September[[#This Row],[Drug Name4]],'Data Options'!$R$1:$S$100,2,FALSE), " ")</f>
        <v xml:space="preserve"> </v>
      </c>
      <c r="AI89" s="32"/>
      <c r="AJ89" s="32"/>
      <c r="AK89" s="53"/>
      <c r="AL89" s="21" t="str">
        <f>IFERROR(VLOOKUP(September[[#This Row],[Drug Name5]],'Data Options'!$R$1:$S$100,2,FALSE), " ")</f>
        <v xml:space="preserve"> </v>
      </c>
      <c r="AM89" s="32"/>
      <c r="AN89" s="32"/>
      <c r="AO89" s="53"/>
      <c r="AP89" s="21" t="str">
        <f>IFERROR(VLOOKUP(September[[#This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21" t="str">
        <f>IFERROR(VLOOKUP(September[[#This Row],[Drug Name7]],'Data Options'!$R$1:$S$100,2,FALSE), " ")</f>
        <v xml:space="preserve"> </v>
      </c>
      <c r="AZ89" s="32"/>
      <c r="BA89" s="32"/>
      <c r="BB89" s="53"/>
      <c r="BC89" s="21" t="str">
        <f>IFERROR(VLOOKUP(September[[#This Row],[Drug Name8]],'Data Options'!$R$1:$S$100,2,FALSE), " ")</f>
        <v xml:space="preserve"> </v>
      </c>
      <c r="BD89" s="32"/>
      <c r="BE89" s="32"/>
      <c r="BF89" s="53"/>
      <c r="BG89" s="21" t="str">
        <f>IFERROR(VLOOKUP(September[[#This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21" t="str">
        <f>IFERROR(VLOOKUP(September[[#This Row],[Drug Name]],'Data Options'!$R$1:$S$100,2,FALSE), " ")</f>
        <v xml:space="preserve"> </v>
      </c>
      <c r="R90" s="32"/>
      <c r="S90" s="32"/>
      <c r="T90" s="53"/>
      <c r="U90" s="21" t="str">
        <f>IFERROR(VLOOKUP(September[[#This Row],[Drug Name2]],'Data Options'!$R$1:$S$100,2,FALSE), " ")</f>
        <v xml:space="preserve"> </v>
      </c>
      <c r="V90" s="32"/>
      <c r="W90" s="32"/>
      <c r="X90" s="53"/>
      <c r="Y90" s="21" t="str">
        <f>IFERROR(VLOOKUP(September[[#This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21" t="str">
        <f>IFERROR(VLOOKUP(September[[#This Row],[Drug Name4]],'Data Options'!$R$1:$S$100,2,FALSE), " ")</f>
        <v xml:space="preserve"> </v>
      </c>
      <c r="AI90" s="32"/>
      <c r="AJ90" s="32"/>
      <c r="AK90" s="53"/>
      <c r="AL90" s="21" t="str">
        <f>IFERROR(VLOOKUP(September[[#This Row],[Drug Name5]],'Data Options'!$R$1:$S$100,2,FALSE), " ")</f>
        <v xml:space="preserve"> </v>
      </c>
      <c r="AM90" s="32"/>
      <c r="AN90" s="32"/>
      <c r="AO90" s="53"/>
      <c r="AP90" s="21" t="str">
        <f>IFERROR(VLOOKUP(September[[#This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21" t="str">
        <f>IFERROR(VLOOKUP(September[[#This Row],[Drug Name7]],'Data Options'!$R$1:$S$100,2,FALSE), " ")</f>
        <v xml:space="preserve"> </v>
      </c>
      <c r="AZ90" s="32"/>
      <c r="BA90" s="32"/>
      <c r="BB90" s="53"/>
      <c r="BC90" s="21" t="str">
        <f>IFERROR(VLOOKUP(September[[#This Row],[Drug Name8]],'Data Options'!$R$1:$S$100,2,FALSE), " ")</f>
        <v xml:space="preserve"> </v>
      </c>
      <c r="BD90" s="32"/>
      <c r="BE90" s="32"/>
      <c r="BF90" s="53"/>
      <c r="BG90" s="21" t="str">
        <f>IFERROR(VLOOKUP(September[[#This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21" t="str">
        <f>IFERROR(VLOOKUP(September[[#This Row],[Drug Name]],'Data Options'!$R$1:$S$100,2,FALSE), " ")</f>
        <v xml:space="preserve"> </v>
      </c>
      <c r="R91" s="32"/>
      <c r="S91" s="32"/>
      <c r="T91" s="53"/>
      <c r="U91" s="21" t="str">
        <f>IFERROR(VLOOKUP(September[[#This Row],[Drug Name2]],'Data Options'!$R$1:$S$100,2,FALSE), " ")</f>
        <v xml:space="preserve"> </v>
      </c>
      <c r="V91" s="32"/>
      <c r="W91" s="32"/>
      <c r="X91" s="53"/>
      <c r="Y91" s="21" t="str">
        <f>IFERROR(VLOOKUP(September[[#This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21" t="str">
        <f>IFERROR(VLOOKUP(September[[#This Row],[Drug Name4]],'Data Options'!$R$1:$S$100,2,FALSE), " ")</f>
        <v xml:space="preserve"> </v>
      </c>
      <c r="AI91" s="32"/>
      <c r="AJ91" s="32"/>
      <c r="AK91" s="53"/>
      <c r="AL91" s="21" t="str">
        <f>IFERROR(VLOOKUP(September[[#This Row],[Drug Name5]],'Data Options'!$R$1:$S$100,2,FALSE), " ")</f>
        <v xml:space="preserve"> </v>
      </c>
      <c r="AM91" s="32"/>
      <c r="AN91" s="32"/>
      <c r="AO91" s="53"/>
      <c r="AP91" s="21" t="str">
        <f>IFERROR(VLOOKUP(September[[#This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21" t="str">
        <f>IFERROR(VLOOKUP(September[[#This Row],[Drug Name7]],'Data Options'!$R$1:$S$100,2,FALSE), " ")</f>
        <v xml:space="preserve"> </v>
      </c>
      <c r="AZ91" s="32"/>
      <c r="BA91" s="32"/>
      <c r="BB91" s="53"/>
      <c r="BC91" s="21" t="str">
        <f>IFERROR(VLOOKUP(September[[#This Row],[Drug Name8]],'Data Options'!$R$1:$S$100,2,FALSE), " ")</f>
        <v xml:space="preserve"> </v>
      </c>
      <c r="BD91" s="32"/>
      <c r="BE91" s="32"/>
      <c r="BF91" s="53"/>
      <c r="BG91" s="21" t="str">
        <f>IFERROR(VLOOKUP(September[[#This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21" t="str">
        <f>IFERROR(VLOOKUP(September[[#This Row],[Drug Name]],'Data Options'!$R$1:$S$100,2,FALSE), " ")</f>
        <v xml:space="preserve"> </v>
      </c>
      <c r="R92" s="32"/>
      <c r="S92" s="32"/>
      <c r="T92" s="53"/>
      <c r="U92" s="21" t="str">
        <f>IFERROR(VLOOKUP(September[[#This Row],[Drug Name2]],'Data Options'!$R$1:$S$100,2,FALSE), " ")</f>
        <v xml:space="preserve"> </v>
      </c>
      <c r="V92" s="32"/>
      <c r="W92" s="32"/>
      <c r="X92" s="53"/>
      <c r="Y92" s="21" t="str">
        <f>IFERROR(VLOOKUP(September[[#This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21" t="str">
        <f>IFERROR(VLOOKUP(September[[#This Row],[Drug Name4]],'Data Options'!$R$1:$S$100,2,FALSE), " ")</f>
        <v xml:space="preserve"> </v>
      </c>
      <c r="AI92" s="32"/>
      <c r="AJ92" s="32"/>
      <c r="AK92" s="53"/>
      <c r="AL92" s="21" t="str">
        <f>IFERROR(VLOOKUP(September[[#This Row],[Drug Name5]],'Data Options'!$R$1:$S$100,2,FALSE), " ")</f>
        <v xml:space="preserve"> </v>
      </c>
      <c r="AM92" s="32"/>
      <c r="AN92" s="32"/>
      <c r="AO92" s="53"/>
      <c r="AP92" s="21" t="str">
        <f>IFERROR(VLOOKUP(September[[#This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21" t="str">
        <f>IFERROR(VLOOKUP(September[[#This Row],[Drug Name7]],'Data Options'!$R$1:$S$100,2,FALSE), " ")</f>
        <v xml:space="preserve"> </v>
      </c>
      <c r="AZ92" s="32"/>
      <c r="BA92" s="32"/>
      <c r="BB92" s="53"/>
      <c r="BC92" s="21" t="str">
        <f>IFERROR(VLOOKUP(September[[#This Row],[Drug Name8]],'Data Options'!$R$1:$S$100,2,FALSE), " ")</f>
        <v xml:space="preserve"> </v>
      </c>
      <c r="BD92" s="32"/>
      <c r="BE92" s="32"/>
      <c r="BF92" s="53"/>
      <c r="BG92" s="21" t="str">
        <f>IFERROR(VLOOKUP(September[[#This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21" t="str">
        <f>IFERROR(VLOOKUP(September[[#This Row],[Drug Name]],'Data Options'!$R$1:$S$100,2,FALSE), " ")</f>
        <v xml:space="preserve"> </v>
      </c>
      <c r="R93" s="32"/>
      <c r="S93" s="32"/>
      <c r="T93" s="53"/>
      <c r="U93" s="21" t="str">
        <f>IFERROR(VLOOKUP(September[[#This Row],[Drug Name2]],'Data Options'!$R$1:$S$100,2,FALSE), " ")</f>
        <v xml:space="preserve"> </v>
      </c>
      <c r="V93" s="32"/>
      <c r="W93" s="32"/>
      <c r="X93" s="53"/>
      <c r="Y93" s="21" t="str">
        <f>IFERROR(VLOOKUP(September[[#This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21" t="str">
        <f>IFERROR(VLOOKUP(September[[#This Row],[Drug Name4]],'Data Options'!$R$1:$S$100,2,FALSE), " ")</f>
        <v xml:space="preserve"> </v>
      </c>
      <c r="AI93" s="32"/>
      <c r="AJ93" s="32"/>
      <c r="AK93" s="53"/>
      <c r="AL93" s="21" t="str">
        <f>IFERROR(VLOOKUP(September[[#This Row],[Drug Name5]],'Data Options'!$R$1:$S$100,2,FALSE), " ")</f>
        <v xml:space="preserve"> </v>
      </c>
      <c r="AM93" s="32"/>
      <c r="AN93" s="32"/>
      <c r="AO93" s="53"/>
      <c r="AP93" s="21" t="str">
        <f>IFERROR(VLOOKUP(September[[#This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21" t="str">
        <f>IFERROR(VLOOKUP(September[[#This Row],[Drug Name7]],'Data Options'!$R$1:$S$100,2,FALSE), " ")</f>
        <v xml:space="preserve"> </v>
      </c>
      <c r="AZ93" s="32"/>
      <c r="BA93" s="32"/>
      <c r="BB93" s="53"/>
      <c r="BC93" s="21" t="str">
        <f>IFERROR(VLOOKUP(September[[#This Row],[Drug Name8]],'Data Options'!$R$1:$S$100,2,FALSE), " ")</f>
        <v xml:space="preserve"> </v>
      </c>
      <c r="BD93" s="32"/>
      <c r="BE93" s="32"/>
      <c r="BF93" s="53"/>
      <c r="BG93" s="21" t="str">
        <f>IFERROR(VLOOKUP(September[[#This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21" t="str">
        <f>IFERROR(VLOOKUP(September[[#This Row],[Drug Name]],'Data Options'!$R$1:$S$100,2,FALSE), " ")</f>
        <v xml:space="preserve"> </v>
      </c>
      <c r="R94" s="32"/>
      <c r="S94" s="32"/>
      <c r="T94" s="53"/>
      <c r="U94" s="21" t="str">
        <f>IFERROR(VLOOKUP(September[[#This Row],[Drug Name2]],'Data Options'!$R$1:$S$100,2,FALSE), " ")</f>
        <v xml:space="preserve"> </v>
      </c>
      <c r="V94" s="32"/>
      <c r="W94" s="32"/>
      <c r="X94" s="53"/>
      <c r="Y94" s="21" t="str">
        <f>IFERROR(VLOOKUP(September[[#This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21" t="str">
        <f>IFERROR(VLOOKUP(September[[#This Row],[Drug Name4]],'Data Options'!$R$1:$S$100,2,FALSE), " ")</f>
        <v xml:space="preserve"> </v>
      </c>
      <c r="AI94" s="32"/>
      <c r="AJ94" s="32"/>
      <c r="AK94" s="53"/>
      <c r="AL94" s="21" t="str">
        <f>IFERROR(VLOOKUP(September[[#This Row],[Drug Name5]],'Data Options'!$R$1:$S$100,2,FALSE), " ")</f>
        <v xml:space="preserve"> </v>
      </c>
      <c r="AM94" s="32"/>
      <c r="AN94" s="32"/>
      <c r="AO94" s="53"/>
      <c r="AP94" s="21" t="str">
        <f>IFERROR(VLOOKUP(September[[#This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21" t="str">
        <f>IFERROR(VLOOKUP(September[[#This Row],[Drug Name7]],'Data Options'!$R$1:$S$100,2,FALSE), " ")</f>
        <v xml:space="preserve"> </v>
      </c>
      <c r="AZ94" s="32"/>
      <c r="BA94" s="32"/>
      <c r="BB94" s="53"/>
      <c r="BC94" s="21" t="str">
        <f>IFERROR(VLOOKUP(September[[#This Row],[Drug Name8]],'Data Options'!$R$1:$S$100,2,FALSE), " ")</f>
        <v xml:space="preserve"> </v>
      </c>
      <c r="BD94" s="32"/>
      <c r="BE94" s="32"/>
      <c r="BF94" s="53"/>
      <c r="BG94" s="21" t="str">
        <f>IFERROR(VLOOKUP(September[[#This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21" t="str">
        <f>IFERROR(VLOOKUP(September[[#This Row],[Drug Name]],'Data Options'!$R$1:$S$100,2,FALSE), " ")</f>
        <v xml:space="preserve"> </v>
      </c>
      <c r="R95" s="32"/>
      <c r="S95" s="32"/>
      <c r="T95" s="53"/>
      <c r="U95" s="21" t="str">
        <f>IFERROR(VLOOKUP(September[[#This Row],[Drug Name2]],'Data Options'!$R$1:$S$100,2,FALSE), " ")</f>
        <v xml:space="preserve"> </v>
      </c>
      <c r="V95" s="32"/>
      <c r="W95" s="32"/>
      <c r="X95" s="53"/>
      <c r="Y95" s="21" t="str">
        <f>IFERROR(VLOOKUP(September[[#This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21" t="str">
        <f>IFERROR(VLOOKUP(September[[#This Row],[Drug Name4]],'Data Options'!$R$1:$S$100,2,FALSE), " ")</f>
        <v xml:space="preserve"> </v>
      </c>
      <c r="AI95" s="32"/>
      <c r="AJ95" s="32"/>
      <c r="AK95" s="53"/>
      <c r="AL95" s="21" t="str">
        <f>IFERROR(VLOOKUP(September[[#This Row],[Drug Name5]],'Data Options'!$R$1:$S$100,2,FALSE), " ")</f>
        <v xml:space="preserve"> </v>
      </c>
      <c r="AM95" s="32"/>
      <c r="AN95" s="32"/>
      <c r="AO95" s="53"/>
      <c r="AP95" s="21" t="str">
        <f>IFERROR(VLOOKUP(September[[#This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21" t="str">
        <f>IFERROR(VLOOKUP(September[[#This Row],[Drug Name7]],'Data Options'!$R$1:$S$100,2,FALSE), " ")</f>
        <v xml:space="preserve"> </v>
      </c>
      <c r="AZ95" s="32"/>
      <c r="BA95" s="32"/>
      <c r="BB95" s="53"/>
      <c r="BC95" s="21" t="str">
        <f>IFERROR(VLOOKUP(September[[#This Row],[Drug Name8]],'Data Options'!$R$1:$S$100,2,FALSE), " ")</f>
        <v xml:space="preserve"> </v>
      </c>
      <c r="BD95" s="32"/>
      <c r="BE95" s="32"/>
      <c r="BF95" s="53"/>
      <c r="BG95" s="21" t="str">
        <f>IFERROR(VLOOKUP(September[[#This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21" t="str">
        <f>IFERROR(VLOOKUP(September[[#This Row],[Drug Name]],'Data Options'!$R$1:$S$100,2,FALSE), " ")</f>
        <v xml:space="preserve"> </v>
      </c>
      <c r="R96" s="32"/>
      <c r="S96" s="32"/>
      <c r="T96" s="53"/>
      <c r="U96" s="21" t="str">
        <f>IFERROR(VLOOKUP(September[[#This Row],[Drug Name2]],'Data Options'!$R$1:$S$100,2,FALSE), " ")</f>
        <v xml:space="preserve"> </v>
      </c>
      <c r="V96" s="32"/>
      <c r="W96" s="32"/>
      <c r="X96" s="53"/>
      <c r="Y96" s="21" t="str">
        <f>IFERROR(VLOOKUP(September[[#This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21" t="str">
        <f>IFERROR(VLOOKUP(September[[#This Row],[Drug Name4]],'Data Options'!$R$1:$S$100,2,FALSE), " ")</f>
        <v xml:space="preserve"> </v>
      </c>
      <c r="AI96" s="32"/>
      <c r="AJ96" s="32"/>
      <c r="AK96" s="53"/>
      <c r="AL96" s="21" t="str">
        <f>IFERROR(VLOOKUP(September[[#This Row],[Drug Name5]],'Data Options'!$R$1:$S$100,2,FALSE), " ")</f>
        <v xml:space="preserve"> </v>
      </c>
      <c r="AM96" s="32"/>
      <c r="AN96" s="32"/>
      <c r="AO96" s="53"/>
      <c r="AP96" s="21" t="str">
        <f>IFERROR(VLOOKUP(September[[#This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21" t="str">
        <f>IFERROR(VLOOKUP(September[[#This Row],[Drug Name7]],'Data Options'!$R$1:$S$100,2,FALSE), " ")</f>
        <v xml:space="preserve"> </v>
      </c>
      <c r="AZ96" s="32"/>
      <c r="BA96" s="32"/>
      <c r="BB96" s="53"/>
      <c r="BC96" s="21" t="str">
        <f>IFERROR(VLOOKUP(September[[#This Row],[Drug Name8]],'Data Options'!$R$1:$S$100,2,FALSE), " ")</f>
        <v xml:space="preserve"> </v>
      </c>
      <c r="BD96" s="32"/>
      <c r="BE96" s="32"/>
      <c r="BF96" s="53"/>
      <c r="BG96" s="21" t="str">
        <f>IFERROR(VLOOKUP(September[[#This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21" t="str">
        <f>IFERROR(VLOOKUP(September[[#This Row],[Drug Name]],'Data Options'!$R$1:$S$100,2,FALSE), " ")</f>
        <v xml:space="preserve"> </v>
      </c>
      <c r="R97" s="32"/>
      <c r="S97" s="32"/>
      <c r="T97" s="53"/>
      <c r="U97" s="21" t="str">
        <f>IFERROR(VLOOKUP(September[[#This Row],[Drug Name2]],'Data Options'!$R$1:$S$100,2,FALSE), " ")</f>
        <v xml:space="preserve"> </v>
      </c>
      <c r="V97" s="32"/>
      <c r="W97" s="32"/>
      <c r="X97" s="53"/>
      <c r="Y97" s="21" t="str">
        <f>IFERROR(VLOOKUP(September[[#This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21" t="str">
        <f>IFERROR(VLOOKUP(September[[#This Row],[Drug Name4]],'Data Options'!$R$1:$S$100,2,FALSE), " ")</f>
        <v xml:space="preserve"> </v>
      </c>
      <c r="AI97" s="32"/>
      <c r="AJ97" s="32"/>
      <c r="AK97" s="53"/>
      <c r="AL97" s="21" t="str">
        <f>IFERROR(VLOOKUP(September[[#This Row],[Drug Name5]],'Data Options'!$R$1:$S$100,2,FALSE), " ")</f>
        <v xml:space="preserve"> </v>
      </c>
      <c r="AM97" s="32"/>
      <c r="AN97" s="32"/>
      <c r="AO97" s="53"/>
      <c r="AP97" s="21" t="str">
        <f>IFERROR(VLOOKUP(September[[#This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21" t="str">
        <f>IFERROR(VLOOKUP(September[[#This Row],[Drug Name7]],'Data Options'!$R$1:$S$100,2,FALSE), " ")</f>
        <v xml:space="preserve"> </v>
      </c>
      <c r="AZ97" s="32"/>
      <c r="BA97" s="32"/>
      <c r="BB97" s="53"/>
      <c r="BC97" s="21" t="str">
        <f>IFERROR(VLOOKUP(September[[#This Row],[Drug Name8]],'Data Options'!$R$1:$S$100,2,FALSE), " ")</f>
        <v xml:space="preserve"> </v>
      </c>
      <c r="BD97" s="32"/>
      <c r="BE97" s="32"/>
      <c r="BF97" s="53"/>
      <c r="BG97" s="21" t="str">
        <f>IFERROR(VLOOKUP(September[[#This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21" t="str">
        <f>IFERROR(VLOOKUP(September[[#This Row],[Drug Name]],'Data Options'!$R$1:$S$100,2,FALSE), " ")</f>
        <v xml:space="preserve"> </v>
      </c>
      <c r="R98" s="32"/>
      <c r="S98" s="32"/>
      <c r="T98" s="53"/>
      <c r="U98" s="21" t="str">
        <f>IFERROR(VLOOKUP(September[[#This Row],[Drug Name2]],'Data Options'!$R$1:$S$100,2,FALSE), " ")</f>
        <v xml:space="preserve"> </v>
      </c>
      <c r="V98" s="32"/>
      <c r="W98" s="32"/>
      <c r="X98" s="53"/>
      <c r="Y98" s="21" t="str">
        <f>IFERROR(VLOOKUP(September[[#This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21" t="str">
        <f>IFERROR(VLOOKUP(September[[#This Row],[Drug Name4]],'Data Options'!$R$1:$S$100,2,FALSE), " ")</f>
        <v xml:space="preserve"> </v>
      </c>
      <c r="AI98" s="32"/>
      <c r="AJ98" s="32"/>
      <c r="AK98" s="53"/>
      <c r="AL98" s="21" t="str">
        <f>IFERROR(VLOOKUP(September[[#This Row],[Drug Name5]],'Data Options'!$R$1:$S$100,2,FALSE), " ")</f>
        <v xml:space="preserve"> </v>
      </c>
      <c r="AM98" s="32"/>
      <c r="AN98" s="32"/>
      <c r="AO98" s="53"/>
      <c r="AP98" s="21" t="str">
        <f>IFERROR(VLOOKUP(September[[#This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21" t="str">
        <f>IFERROR(VLOOKUP(September[[#This Row],[Drug Name7]],'Data Options'!$R$1:$S$100,2,FALSE), " ")</f>
        <v xml:space="preserve"> </v>
      </c>
      <c r="AZ98" s="32"/>
      <c r="BA98" s="32"/>
      <c r="BB98" s="53"/>
      <c r="BC98" s="21" t="str">
        <f>IFERROR(VLOOKUP(September[[#This Row],[Drug Name8]],'Data Options'!$R$1:$S$100,2,FALSE), " ")</f>
        <v xml:space="preserve"> </v>
      </c>
      <c r="BD98" s="32"/>
      <c r="BE98" s="32"/>
      <c r="BF98" s="53"/>
      <c r="BG98" s="21" t="str">
        <f>IFERROR(VLOOKUP(September[[#This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21" t="str">
        <f>IFERROR(VLOOKUP(September[[#This Row],[Drug Name]],'Data Options'!$R$1:$S$100,2,FALSE), " ")</f>
        <v xml:space="preserve"> </v>
      </c>
      <c r="R99" s="32"/>
      <c r="S99" s="32"/>
      <c r="T99" s="53"/>
      <c r="U99" s="21" t="str">
        <f>IFERROR(VLOOKUP(September[[#This Row],[Drug Name2]],'Data Options'!$R$1:$S$100,2,FALSE), " ")</f>
        <v xml:space="preserve"> </v>
      </c>
      <c r="V99" s="32"/>
      <c r="W99" s="32"/>
      <c r="X99" s="53"/>
      <c r="Y99" s="21" t="str">
        <f>IFERROR(VLOOKUP(September[[#This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21" t="str">
        <f>IFERROR(VLOOKUP(September[[#This Row],[Drug Name4]],'Data Options'!$R$1:$S$100,2,FALSE), " ")</f>
        <v xml:space="preserve"> </v>
      </c>
      <c r="AI99" s="32"/>
      <c r="AJ99" s="32"/>
      <c r="AK99" s="53"/>
      <c r="AL99" s="21" t="str">
        <f>IFERROR(VLOOKUP(September[[#This Row],[Drug Name5]],'Data Options'!$R$1:$S$100,2,FALSE), " ")</f>
        <v xml:space="preserve"> </v>
      </c>
      <c r="AM99" s="32"/>
      <c r="AN99" s="32"/>
      <c r="AO99" s="53"/>
      <c r="AP99" s="21" t="str">
        <f>IFERROR(VLOOKUP(September[[#This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21" t="str">
        <f>IFERROR(VLOOKUP(September[[#This Row],[Drug Name7]],'Data Options'!$R$1:$S$100,2,FALSE), " ")</f>
        <v xml:space="preserve"> </v>
      </c>
      <c r="AZ99" s="32"/>
      <c r="BA99" s="32"/>
      <c r="BB99" s="53"/>
      <c r="BC99" s="21" t="str">
        <f>IFERROR(VLOOKUP(September[[#This Row],[Drug Name8]],'Data Options'!$R$1:$S$100,2,FALSE), " ")</f>
        <v xml:space="preserve"> </v>
      </c>
      <c r="BD99" s="32"/>
      <c r="BE99" s="32"/>
      <c r="BF99" s="53"/>
      <c r="BG99" s="21" t="str">
        <f>IFERROR(VLOOKUP(September[[#This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21" t="str">
        <f>IFERROR(VLOOKUP(September[[#This Row],[Drug Name]],'Data Options'!$R$1:$S$100,2,FALSE), " ")</f>
        <v xml:space="preserve"> </v>
      </c>
      <c r="R100" s="32"/>
      <c r="S100" s="32"/>
      <c r="T100" s="53"/>
      <c r="U100" s="21" t="str">
        <f>IFERROR(VLOOKUP(September[[#This Row],[Drug Name2]],'Data Options'!$R$1:$S$100,2,FALSE), " ")</f>
        <v xml:space="preserve"> </v>
      </c>
      <c r="V100" s="32"/>
      <c r="W100" s="32"/>
      <c r="X100" s="53"/>
      <c r="Y100" s="21" t="str">
        <f>IFERROR(VLOOKUP(September[[#This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21" t="str">
        <f>IFERROR(VLOOKUP(September[[#This Row],[Drug Name4]],'Data Options'!$R$1:$S$100,2,FALSE), " ")</f>
        <v xml:space="preserve"> </v>
      </c>
      <c r="AI100" s="32"/>
      <c r="AJ100" s="32"/>
      <c r="AK100" s="53"/>
      <c r="AL100" s="21" t="str">
        <f>IFERROR(VLOOKUP(September[[#This Row],[Drug Name5]],'Data Options'!$R$1:$S$100,2,FALSE), " ")</f>
        <v xml:space="preserve"> </v>
      </c>
      <c r="AM100" s="32"/>
      <c r="AN100" s="32"/>
      <c r="AO100" s="53"/>
      <c r="AP100" s="21" t="str">
        <f>IFERROR(VLOOKUP(September[[#This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21" t="str">
        <f>IFERROR(VLOOKUP(September[[#This Row],[Drug Name7]],'Data Options'!$R$1:$S$100,2,FALSE), " ")</f>
        <v xml:space="preserve"> </v>
      </c>
      <c r="AZ100" s="32"/>
      <c r="BA100" s="32"/>
      <c r="BB100" s="53"/>
      <c r="BC100" s="21" t="str">
        <f>IFERROR(VLOOKUP(September[[#This Row],[Drug Name8]],'Data Options'!$R$1:$S$100,2,FALSE), " ")</f>
        <v xml:space="preserve"> </v>
      </c>
      <c r="BD100" s="32"/>
      <c r="BE100" s="32"/>
      <c r="BF100" s="53"/>
      <c r="BG100" s="21" t="str">
        <f>IFERROR(VLOOKUP(September[[#This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21" t="str">
        <f>IFERROR(VLOOKUP(September[[#This Row],[Drug Name]],'Data Options'!$R$1:$S$100,2,FALSE), " ")</f>
        <v xml:space="preserve"> </v>
      </c>
      <c r="R101" s="32"/>
      <c r="S101" s="32"/>
      <c r="T101" s="53"/>
      <c r="U101" s="21" t="str">
        <f>IFERROR(VLOOKUP(September[[#This Row],[Drug Name2]],'Data Options'!$R$1:$S$100,2,FALSE), " ")</f>
        <v xml:space="preserve"> </v>
      </c>
      <c r="V101" s="32"/>
      <c r="W101" s="32"/>
      <c r="X101" s="53"/>
      <c r="Y101" s="21" t="str">
        <f>IFERROR(VLOOKUP(September[[#This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21" t="str">
        <f>IFERROR(VLOOKUP(September[[#This Row],[Drug Name4]],'Data Options'!$R$1:$S$100,2,FALSE), " ")</f>
        <v xml:space="preserve"> </v>
      </c>
      <c r="AI101" s="32"/>
      <c r="AJ101" s="32"/>
      <c r="AK101" s="53"/>
      <c r="AL101" s="21" t="str">
        <f>IFERROR(VLOOKUP(September[[#This Row],[Drug Name5]],'Data Options'!$R$1:$S$100,2,FALSE), " ")</f>
        <v xml:space="preserve"> </v>
      </c>
      <c r="AM101" s="32"/>
      <c r="AN101" s="32"/>
      <c r="AO101" s="53"/>
      <c r="AP101" s="21" t="str">
        <f>IFERROR(VLOOKUP(September[[#This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21" t="str">
        <f>IFERROR(VLOOKUP(September[[#This Row],[Drug Name7]],'Data Options'!$R$1:$S$100,2,FALSE), " ")</f>
        <v xml:space="preserve"> </v>
      </c>
      <c r="AZ101" s="32"/>
      <c r="BA101" s="32"/>
      <c r="BB101" s="53"/>
      <c r="BC101" s="21" t="str">
        <f>IFERROR(VLOOKUP(September[[#This Row],[Drug Name8]],'Data Options'!$R$1:$S$100,2,FALSE), " ")</f>
        <v xml:space="preserve"> </v>
      </c>
      <c r="BD101" s="32"/>
      <c r="BE101" s="32"/>
      <c r="BF101" s="53"/>
      <c r="BG101" s="21" t="str">
        <f>IFERROR(VLOOKUP(September[[#This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21" t="str">
        <f>IFERROR(VLOOKUP(September[[#This Row],[Drug Name]],'Data Options'!$R$1:$S$100,2,FALSE), " ")</f>
        <v xml:space="preserve"> </v>
      </c>
      <c r="R102" s="32"/>
      <c r="S102" s="32"/>
      <c r="T102" s="53"/>
      <c r="U102" s="21" t="str">
        <f>IFERROR(VLOOKUP(September[[#This Row],[Drug Name2]],'Data Options'!$R$1:$S$100,2,FALSE), " ")</f>
        <v xml:space="preserve"> </v>
      </c>
      <c r="V102" s="32"/>
      <c r="W102" s="32"/>
      <c r="X102" s="53"/>
      <c r="Y102" s="21" t="str">
        <f>IFERROR(VLOOKUP(September[[#This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21" t="str">
        <f>IFERROR(VLOOKUP(September[[#This Row],[Drug Name4]],'Data Options'!$R$1:$S$100,2,FALSE), " ")</f>
        <v xml:space="preserve"> </v>
      </c>
      <c r="AI102" s="32"/>
      <c r="AJ102" s="32"/>
      <c r="AK102" s="53"/>
      <c r="AL102" s="21" t="str">
        <f>IFERROR(VLOOKUP(September[[#This Row],[Drug Name5]],'Data Options'!$R$1:$S$100,2,FALSE), " ")</f>
        <v xml:space="preserve"> </v>
      </c>
      <c r="AM102" s="32"/>
      <c r="AN102" s="32"/>
      <c r="AO102" s="53"/>
      <c r="AP102" s="21" t="str">
        <f>IFERROR(VLOOKUP(September[[#This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21" t="str">
        <f>IFERROR(VLOOKUP(September[[#This Row],[Drug Name7]],'Data Options'!$R$1:$S$100,2,FALSE), " ")</f>
        <v xml:space="preserve"> </v>
      </c>
      <c r="AZ102" s="32"/>
      <c r="BA102" s="32"/>
      <c r="BB102" s="53"/>
      <c r="BC102" s="21" t="str">
        <f>IFERROR(VLOOKUP(September[[#This Row],[Drug Name8]],'Data Options'!$R$1:$S$100,2,FALSE), " ")</f>
        <v xml:space="preserve"> </v>
      </c>
      <c r="BD102" s="32"/>
      <c r="BE102" s="32"/>
      <c r="BF102" s="53"/>
      <c r="BG102" s="21" t="str">
        <f>IFERROR(VLOOKUP(September[[#This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21" t="str">
        <f>IFERROR(VLOOKUP(September[[#This Row],[Drug Name]],'Data Options'!$R$1:$S$100,2,FALSE), " ")</f>
        <v xml:space="preserve"> </v>
      </c>
      <c r="R103" s="32"/>
      <c r="S103" s="32"/>
      <c r="T103" s="53"/>
      <c r="U103" s="21" t="str">
        <f>IFERROR(VLOOKUP(September[[#This Row],[Drug Name2]],'Data Options'!$R$1:$S$100,2,FALSE), " ")</f>
        <v xml:space="preserve"> </v>
      </c>
      <c r="V103" s="32"/>
      <c r="W103" s="32"/>
      <c r="X103" s="53"/>
      <c r="Y103" s="21" t="str">
        <f>IFERROR(VLOOKUP(September[[#This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21" t="str">
        <f>IFERROR(VLOOKUP(September[[#This Row],[Drug Name4]],'Data Options'!$R$1:$S$100,2,FALSE), " ")</f>
        <v xml:space="preserve"> </v>
      </c>
      <c r="AI103" s="32"/>
      <c r="AJ103" s="32"/>
      <c r="AK103" s="53"/>
      <c r="AL103" s="21" t="str">
        <f>IFERROR(VLOOKUP(September[[#This Row],[Drug Name5]],'Data Options'!$R$1:$S$100,2,FALSE), " ")</f>
        <v xml:space="preserve"> </v>
      </c>
      <c r="AM103" s="32"/>
      <c r="AN103" s="32"/>
      <c r="AO103" s="53"/>
      <c r="AP103" s="21" t="str">
        <f>IFERROR(VLOOKUP(September[[#This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21" t="str">
        <f>IFERROR(VLOOKUP(September[[#This Row],[Drug Name7]],'Data Options'!$R$1:$S$100,2,FALSE), " ")</f>
        <v xml:space="preserve"> </v>
      </c>
      <c r="AZ103" s="32"/>
      <c r="BA103" s="32"/>
      <c r="BB103" s="53"/>
      <c r="BC103" s="21" t="str">
        <f>IFERROR(VLOOKUP(September[[#This Row],[Drug Name8]],'Data Options'!$R$1:$S$100,2,FALSE), " ")</f>
        <v xml:space="preserve"> </v>
      </c>
      <c r="BD103" s="32"/>
      <c r="BE103" s="32"/>
      <c r="BF103" s="53"/>
      <c r="BG103" s="21" t="str">
        <f>IFERROR(VLOOKUP(September[[#This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21" t="str">
        <f>IFERROR(VLOOKUP(September[[#This Row],[Drug Name]],'Data Options'!$R$1:$S$100,2,FALSE), " ")</f>
        <v xml:space="preserve"> </v>
      </c>
      <c r="R104" s="32"/>
      <c r="S104" s="32"/>
      <c r="T104" s="53"/>
      <c r="U104" s="21" t="str">
        <f>IFERROR(VLOOKUP(September[[#This Row],[Drug Name2]],'Data Options'!$R$1:$S$100,2,FALSE), " ")</f>
        <v xml:space="preserve"> </v>
      </c>
      <c r="V104" s="32"/>
      <c r="W104" s="32"/>
      <c r="X104" s="53"/>
      <c r="Y104" s="21" t="str">
        <f>IFERROR(VLOOKUP(September[[#This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21" t="str">
        <f>IFERROR(VLOOKUP(September[[#This Row],[Drug Name4]],'Data Options'!$R$1:$S$100,2,FALSE), " ")</f>
        <v xml:space="preserve"> </v>
      </c>
      <c r="AI104" s="32"/>
      <c r="AJ104" s="32"/>
      <c r="AK104" s="53"/>
      <c r="AL104" s="21" t="str">
        <f>IFERROR(VLOOKUP(September[[#This Row],[Drug Name5]],'Data Options'!$R$1:$S$100,2,FALSE), " ")</f>
        <v xml:space="preserve"> </v>
      </c>
      <c r="AM104" s="32"/>
      <c r="AN104" s="32"/>
      <c r="AO104" s="53"/>
      <c r="AP104" s="21" t="str">
        <f>IFERROR(VLOOKUP(September[[#This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21" t="str">
        <f>IFERROR(VLOOKUP(September[[#This Row],[Drug Name7]],'Data Options'!$R$1:$S$100,2,FALSE), " ")</f>
        <v xml:space="preserve"> </v>
      </c>
      <c r="AZ104" s="32"/>
      <c r="BA104" s="32"/>
      <c r="BB104" s="53"/>
      <c r="BC104" s="21" t="str">
        <f>IFERROR(VLOOKUP(September[[#This Row],[Drug Name8]],'Data Options'!$R$1:$S$100,2,FALSE), " ")</f>
        <v xml:space="preserve"> </v>
      </c>
      <c r="BD104" s="32"/>
      <c r="BE104" s="32"/>
      <c r="BF104" s="53"/>
      <c r="BG104" s="21" t="str">
        <f>IFERROR(VLOOKUP(September[[#This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21" t="str">
        <f>IFERROR(VLOOKUP(September[[#This Row],[Drug Name]],'Data Options'!$R$1:$S$100,2,FALSE), " ")</f>
        <v xml:space="preserve"> </v>
      </c>
      <c r="R105" s="32"/>
      <c r="S105" s="32"/>
      <c r="T105" s="53"/>
      <c r="U105" s="21" t="str">
        <f>IFERROR(VLOOKUP(September[[#This Row],[Drug Name2]],'Data Options'!$R$1:$S$100,2,FALSE), " ")</f>
        <v xml:space="preserve"> </v>
      </c>
      <c r="V105" s="32"/>
      <c r="W105" s="32"/>
      <c r="X105" s="53"/>
      <c r="Y105" s="21" t="str">
        <f>IFERROR(VLOOKUP(September[[#This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21" t="str">
        <f>IFERROR(VLOOKUP(September[[#This Row],[Drug Name4]],'Data Options'!$R$1:$S$100,2,FALSE), " ")</f>
        <v xml:space="preserve"> </v>
      </c>
      <c r="AI105" s="32"/>
      <c r="AJ105" s="32"/>
      <c r="AK105" s="53"/>
      <c r="AL105" s="21" t="str">
        <f>IFERROR(VLOOKUP(September[[#This Row],[Drug Name5]],'Data Options'!$R$1:$S$100,2,FALSE), " ")</f>
        <v xml:space="preserve"> </v>
      </c>
      <c r="AM105" s="32"/>
      <c r="AN105" s="32"/>
      <c r="AO105" s="53"/>
      <c r="AP105" s="21" t="str">
        <f>IFERROR(VLOOKUP(September[[#This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21" t="str">
        <f>IFERROR(VLOOKUP(September[[#This Row],[Drug Name7]],'Data Options'!$R$1:$S$100,2,FALSE), " ")</f>
        <v xml:space="preserve"> </v>
      </c>
      <c r="AZ105" s="32"/>
      <c r="BA105" s="32"/>
      <c r="BB105" s="53"/>
      <c r="BC105" s="21" t="str">
        <f>IFERROR(VLOOKUP(September[[#This Row],[Drug Name8]],'Data Options'!$R$1:$S$100,2,FALSE), " ")</f>
        <v xml:space="preserve"> </v>
      </c>
      <c r="BD105" s="32"/>
      <c r="BE105" s="32"/>
      <c r="BF105" s="53"/>
      <c r="BG105" s="21" t="str">
        <f>IFERROR(VLOOKUP(September[[#This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21" t="str">
        <f>IFERROR(VLOOKUP(September[[#This Row],[Drug Name]],'Data Options'!$R$1:$S$100,2,FALSE), " ")</f>
        <v xml:space="preserve"> </v>
      </c>
      <c r="R106" s="32"/>
      <c r="S106" s="32"/>
      <c r="T106" s="53"/>
      <c r="U106" s="21" t="str">
        <f>IFERROR(VLOOKUP(September[[#This Row],[Drug Name2]],'Data Options'!$R$1:$S$100,2,FALSE), " ")</f>
        <v xml:space="preserve"> </v>
      </c>
      <c r="V106" s="32"/>
      <c r="W106" s="32"/>
      <c r="X106" s="53"/>
      <c r="Y106" s="21" t="str">
        <f>IFERROR(VLOOKUP(September[[#This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21" t="str">
        <f>IFERROR(VLOOKUP(September[[#This Row],[Drug Name4]],'Data Options'!$R$1:$S$100,2,FALSE), " ")</f>
        <v xml:space="preserve"> </v>
      </c>
      <c r="AI106" s="32"/>
      <c r="AJ106" s="32"/>
      <c r="AK106" s="53"/>
      <c r="AL106" s="21" t="str">
        <f>IFERROR(VLOOKUP(September[[#This Row],[Drug Name5]],'Data Options'!$R$1:$S$100,2,FALSE), " ")</f>
        <v xml:space="preserve"> </v>
      </c>
      <c r="AM106" s="32"/>
      <c r="AN106" s="32"/>
      <c r="AO106" s="53"/>
      <c r="AP106" s="21" t="str">
        <f>IFERROR(VLOOKUP(September[[#This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21" t="str">
        <f>IFERROR(VLOOKUP(September[[#This Row],[Drug Name7]],'Data Options'!$R$1:$S$100,2,FALSE), " ")</f>
        <v xml:space="preserve"> </v>
      </c>
      <c r="AZ106" s="32"/>
      <c r="BA106" s="32"/>
      <c r="BB106" s="53"/>
      <c r="BC106" s="21" t="str">
        <f>IFERROR(VLOOKUP(September[[#This Row],[Drug Name8]],'Data Options'!$R$1:$S$100,2,FALSE), " ")</f>
        <v xml:space="preserve"> </v>
      </c>
      <c r="BD106" s="32"/>
      <c r="BE106" s="32"/>
      <c r="BF106" s="53"/>
      <c r="BG106" s="21" t="str">
        <f>IFERROR(VLOOKUP(September[[#This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21" t="str">
        <f>IFERROR(VLOOKUP(September[[#This Row],[Drug Name]],'Data Options'!$R$1:$S$100,2,FALSE), " ")</f>
        <v xml:space="preserve"> </v>
      </c>
      <c r="R107" s="32"/>
      <c r="S107" s="32"/>
      <c r="T107" s="53"/>
      <c r="U107" s="21" t="str">
        <f>IFERROR(VLOOKUP(September[[#This Row],[Drug Name2]],'Data Options'!$R$1:$S$100,2,FALSE), " ")</f>
        <v xml:space="preserve"> </v>
      </c>
      <c r="V107" s="32"/>
      <c r="W107" s="32"/>
      <c r="X107" s="53"/>
      <c r="Y107" s="21" t="str">
        <f>IFERROR(VLOOKUP(September[[#This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21" t="str">
        <f>IFERROR(VLOOKUP(September[[#This Row],[Drug Name4]],'Data Options'!$R$1:$S$100,2,FALSE), " ")</f>
        <v xml:space="preserve"> </v>
      </c>
      <c r="AI107" s="32"/>
      <c r="AJ107" s="32"/>
      <c r="AK107" s="53"/>
      <c r="AL107" s="21" t="str">
        <f>IFERROR(VLOOKUP(September[[#This Row],[Drug Name5]],'Data Options'!$R$1:$S$100,2,FALSE), " ")</f>
        <v xml:space="preserve"> </v>
      </c>
      <c r="AM107" s="32"/>
      <c r="AN107" s="32"/>
      <c r="AO107" s="53"/>
      <c r="AP107" s="21" t="str">
        <f>IFERROR(VLOOKUP(September[[#This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21" t="str">
        <f>IFERROR(VLOOKUP(September[[#This Row],[Drug Name7]],'Data Options'!$R$1:$S$100,2,FALSE), " ")</f>
        <v xml:space="preserve"> </v>
      </c>
      <c r="AZ107" s="32"/>
      <c r="BA107" s="32"/>
      <c r="BB107" s="53"/>
      <c r="BC107" s="21" t="str">
        <f>IFERROR(VLOOKUP(September[[#This Row],[Drug Name8]],'Data Options'!$R$1:$S$100,2,FALSE), " ")</f>
        <v xml:space="preserve"> </v>
      </c>
      <c r="BD107" s="32"/>
      <c r="BE107" s="32"/>
      <c r="BF107" s="53"/>
      <c r="BG107" s="21" t="str">
        <f>IFERROR(VLOOKUP(September[[#This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21" t="str">
        <f>IFERROR(VLOOKUP(September[[#This Row],[Drug Name]],'Data Options'!$R$1:$S$100,2,FALSE), " ")</f>
        <v xml:space="preserve"> </v>
      </c>
      <c r="R108" s="32"/>
      <c r="S108" s="32"/>
      <c r="T108" s="53"/>
      <c r="U108" s="21" t="str">
        <f>IFERROR(VLOOKUP(September[[#This Row],[Drug Name2]],'Data Options'!$R$1:$S$100,2,FALSE), " ")</f>
        <v xml:space="preserve"> </v>
      </c>
      <c r="V108" s="32"/>
      <c r="W108" s="32"/>
      <c r="X108" s="53"/>
      <c r="Y108" s="21" t="str">
        <f>IFERROR(VLOOKUP(September[[#This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21" t="str">
        <f>IFERROR(VLOOKUP(September[[#This Row],[Drug Name4]],'Data Options'!$R$1:$S$100,2,FALSE), " ")</f>
        <v xml:space="preserve"> </v>
      </c>
      <c r="AI108" s="32"/>
      <c r="AJ108" s="32"/>
      <c r="AK108" s="53"/>
      <c r="AL108" s="21" t="str">
        <f>IFERROR(VLOOKUP(September[[#This Row],[Drug Name5]],'Data Options'!$R$1:$S$100,2,FALSE), " ")</f>
        <v xml:space="preserve"> </v>
      </c>
      <c r="AM108" s="32"/>
      <c r="AN108" s="32"/>
      <c r="AO108" s="53"/>
      <c r="AP108" s="21" t="str">
        <f>IFERROR(VLOOKUP(September[[#This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21" t="str">
        <f>IFERROR(VLOOKUP(September[[#This Row],[Drug Name7]],'Data Options'!$R$1:$S$100,2,FALSE), " ")</f>
        <v xml:space="preserve"> </v>
      </c>
      <c r="AZ108" s="32"/>
      <c r="BA108" s="32"/>
      <c r="BB108" s="53"/>
      <c r="BC108" s="21" t="str">
        <f>IFERROR(VLOOKUP(September[[#This Row],[Drug Name8]],'Data Options'!$R$1:$S$100,2,FALSE), " ")</f>
        <v xml:space="preserve"> </v>
      </c>
      <c r="BD108" s="32"/>
      <c r="BE108" s="32"/>
      <c r="BF108" s="53"/>
      <c r="BG108" s="21" t="str">
        <f>IFERROR(VLOOKUP(September[[#This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21" t="str">
        <f>IFERROR(VLOOKUP(September[[#This Row],[Drug Name]],'Data Options'!$R$1:$S$100,2,FALSE), " ")</f>
        <v xml:space="preserve"> </v>
      </c>
      <c r="R109" s="32"/>
      <c r="S109" s="32"/>
      <c r="T109" s="53"/>
      <c r="U109" s="21" t="str">
        <f>IFERROR(VLOOKUP(September[[#This Row],[Drug Name2]],'Data Options'!$R$1:$S$100,2,FALSE), " ")</f>
        <v xml:space="preserve"> </v>
      </c>
      <c r="V109" s="32"/>
      <c r="W109" s="32"/>
      <c r="X109" s="53"/>
      <c r="Y109" s="21" t="str">
        <f>IFERROR(VLOOKUP(September[[#This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21" t="str">
        <f>IFERROR(VLOOKUP(September[[#This Row],[Drug Name4]],'Data Options'!$R$1:$S$100,2,FALSE), " ")</f>
        <v xml:space="preserve"> </v>
      </c>
      <c r="AI109" s="32"/>
      <c r="AJ109" s="32"/>
      <c r="AK109" s="53"/>
      <c r="AL109" s="21" t="str">
        <f>IFERROR(VLOOKUP(September[[#This Row],[Drug Name5]],'Data Options'!$R$1:$S$100,2,FALSE), " ")</f>
        <v xml:space="preserve"> </v>
      </c>
      <c r="AM109" s="32"/>
      <c r="AN109" s="32"/>
      <c r="AO109" s="53"/>
      <c r="AP109" s="21" t="str">
        <f>IFERROR(VLOOKUP(September[[#This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21" t="str">
        <f>IFERROR(VLOOKUP(September[[#This Row],[Drug Name7]],'Data Options'!$R$1:$S$100,2,FALSE), " ")</f>
        <v xml:space="preserve"> </v>
      </c>
      <c r="AZ109" s="32"/>
      <c r="BA109" s="32"/>
      <c r="BB109" s="53"/>
      <c r="BC109" s="21" t="str">
        <f>IFERROR(VLOOKUP(September[[#This Row],[Drug Name8]],'Data Options'!$R$1:$S$100,2,FALSE), " ")</f>
        <v xml:space="preserve"> </v>
      </c>
      <c r="BD109" s="32"/>
      <c r="BE109" s="32"/>
      <c r="BF109" s="53"/>
      <c r="BG109" s="21" t="str">
        <f>IFERROR(VLOOKUP(September[[#This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21" t="str">
        <f>IFERROR(VLOOKUP(September[[#This Row],[Drug Name]],'Data Options'!$R$1:$S$100,2,FALSE), " ")</f>
        <v xml:space="preserve"> </v>
      </c>
      <c r="R110" s="32"/>
      <c r="S110" s="32"/>
      <c r="T110" s="53"/>
      <c r="U110" s="21" t="str">
        <f>IFERROR(VLOOKUP(September[[#This Row],[Drug Name2]],'Data Options'!$R$1:$S$100,2,FALSE), " ")</f>
        <v xml:space="preserve"> </v>
      </c>
      <c r="V110" s="32"/>
      <c r="W110" s="32"/>
      <c r="X110" s="53"/>
      <c r="Y110" s="21" t="str">
        <f>IFERROR(VLOOKUP(September[[#This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21" t="str">
        <f>IFERROR(VLOOKUP(September[[#This Row],[Drug Name4]],'Data Options'!$R$1:$S$100,2,FALSE), " ")</f>
        <v xml:space="preserve"> </v>
      </c>
      <c r="AI110" s="32"/>
      <c r="AJ110" s="32"/>
      <c r="AK110" s="53"/>
      <c r="AL110" s="21" t="str">
        <f>IFERROR(VLOOKUP(September[[#This Row],[Drug Name5]],'Data Options'!$R$1:$S$100,2,FALSE), " ")</f>
        <v xml:space="preserve"> </v>
      </c>
      <c r="AM110" s="32"/>
      <c r="AN110" s="32"/>
      <c r="AO110" s="53"/>
      <c r="AP110" s="21" t="str">
        <f>IFERROR(VLOOKUP(September[[#This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21" t="str">
        <f>IFERROR(VLOOKUP(September[[#This Row],[Drug Name7]],'Data Options'!$R$1:$S$100,2,FALSE), " ")</f>
        <v xml:space="preserve"> </v>
      </c>
      <c r="AZ110" s="32"/>
      <c r="BA110" s="32"/>
      <c r="BB110" s="53"/>
      <c r="BC110" s="21" t="str">
        <f>IFERROR(VLOOKUP(September[[#This Row],[Drug Name8]],'Data Options'!$R$1:$S$100,2,FALSE), " ")</f>
        <v xml:space="preserve"> </v>
      </c>
      <c r="BD110" s="32"/>
      <c r="BE110" s="32"/>
      <c r="BF110" s="53"/>
      <c r="BG110" s="21" t="str">
        <f>IFERROR(VLOOKUP(September[[#This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21" t="str">
        <f>IFERROR(VLOOKUP(September[[#This Row],[Drug Name]],'Data Options'!$R$1:$S$100,2,FALSE), " ")</f>
        <v xml:space="preserve"> </v>
      </c>
      <c r="R111" s="32"/>
      <c r="S111" s="32"/>
      <c r="T111" s="53"/>
      <c r="U111" s="21" t="str">
        <f>IFERROR(VLOOKUP(September[[#This Row],[Drug Name2]],'Data Options'!$R$1:$S$100,2,FALSE), " ")</f>
        <v xml:space="preserve"> </v>
      </c>
      <c r="V111" s="32"/>
      <c r="W111" s="32"/>
      <c r="X111" s="53"/>
      <c r="Y111" s="21" t="str">
        <f>IFERROR(VLOOKUP(September[[#This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21" t="str">
        <f>IFERROR(VLOOKUP(September[[#This Row],[Drug Name4]],'Data Options'!$R$1:$S$100,2,FALSE), " ")</f>
        <v xml:space="preserve"> </v>
      </c>
      <c r="AI111" s="32"/>
      <c r="AJ111" s="32"/>
      <c r="AK111" s="53"/>
      <c r="AL111" s="21" t="str">
        <f>IFERROR(VLOOKUP(September[[#This Row],[Drug Name5]],'Data Options'!$R$1:$S$100,2,FALSE), " ")</f>
        <v xml:space="preserve"> </v>
      </c>
      <c r="AM111" s="32"/>
      <c r="AN111" s="32"/>
      <c r="AO111" s="53"/>
      <c r="AP111" s="21" t="str">
        <f>IFERROR(VLOOKUP(September[[#This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21" t="str">
        <f>IFERROR(VLOOKUP(September[[#This Row],[Drug Name7]],'Data Options'!$R$1:$S$100,2,FALSE), " ")</f>
        <v xml:space="preserve"> </v>
      </c>
      <c r="AZ111" s="32"/>
      <c r="BA111" s="32"/>
      <c r="BB111" s="53"/>
      <c r="BC111" s="21" t="str">
        <f>IFERROR(VLOOKUP(September[[#This Row],[Drug Name8]],'Data Options'!$R$1:$S$100,2,FALSE), " ")</f>
        <v xml:space="preserve"> </v>
      </c>
      <c r="BD111" s="32"/>
      <c r="BE111" s="32"/>
      <c r="BF111" s="53"/>
      <c r="BG111" s="21" t="str">
        <f>IFERROR(VLOOKUP(September[[#This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21" t="str">
        <f>IFERROR(VLOOKUP(September[[#This Row],[Drug Name]],'Data Options'!$R$1:$S$100,2,FALSE), " ")</f>
        <v xml:space="preserve"> </v>
      </c>
      <c r="R112" s="32"/>
      <c r="S112" s="32"/>
      <c r="T112" s="53"/>
      <c r="U112" s="21" t="str">
        <f>IFERROR(VLOOKUP(September[[#This Row],[Drug Name2]],'Data Options'!$R$1:$S$100,2,FALSE), " ")</f>
        <v xml:space="preserve"> </v>
      </c>
      <c r="V112" s="32"/>
      <c r="W112" s="32"/>
      <c r="X112" s="53"/>
      <c r="Y112" s="21" t="str">
        <f>IFERROR(VLOOKUP(September[[#This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21" t="str">
        <f>IFERROR(VLOOKUP(September[[#This Row],[Drug Name4]],'Data Options'!$R$1:$S$100,2,FALSE), " ")</f>
        <v xml:space="preserve"> </v>
      </c>
      <c r="AI112" s="32"/>
      <c r="AJ112" s="32"/>
      <c r="AK112" s="53"/>
      <c r="AL112" s="21" t="str">
        <f>IFERROR(VLOOKUP(September[[#This Row],[Drug Name5]],'Data Options'!$R$1:$S$100,2,FALSE), " ")</f>
        <v xml:space="preserve"> </v>
      </c>
      <c r="AM112" s="32"/>
      <c r="AN112" s="32"/>
      <c r="AO112" s="53"/>
      <c r="AP112" s="21" t="str">
        <f>IFERROR(VLOOKUP(September[[#This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21" t="str">
        <f>IFERROR(VLOOKUP(September[[#This Row],[Drug Name7]],'Data Options'!$R$1:$S$100,2,FALSE), " ")</f>
        <v xml:space="preserve"> </v>
      </c>
      <c r="AZ112" s="32"/>
      <c r="BA112" s="32"/>
      <c r="BB112" s="53"/>
      <c r="BC112" s="21" t="str">
        <f>IFERROR(VLOOKUP(September[[#This Row],[Drug Name8]],'Data Options'!$R$1:$S$100,2,FALSE), " ")</f>
        <v xml:space="preserve"> </v>
      </c>
      <c r="BD112" s="32"/>
      <c r="BE112" s="32"/>
      <c r="BF112" s="53"/>
      <c r="BG112" s="21" t="str">
        <f>IFERROR(VLOOKUP(September[[#This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21" t="str">
        <f>IFERROR(VLOOKUP(September[[#This Row],[Drug Name]],'Data Options'!$R$1:$S$100,2,FALSE), " ")</f>
        <v xml:space="preserve"> </v>
      </c>
      <c r="R113" s="32"/>
      <c r="S113" s="32"/>
      <c r="T113" s="53"/>
      <c r="U113" s="21" t="str">
        <f>IFERROR(VLOOKUP(September[[#This Row],[Drug Name2]],'Data Options'!$R$1:$S$100,2,FALSE), " ")</f>
        <v xml:space="preserve"> </v>
      </c>
      <c r="V113" s="32"/>
      <c r="W113" s="32"/>
      <c r="X113" s="53"/>
      <c r="Y113" s="21" t="str">
        <f>IFERROR(VLOOKUP(September[[#This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21" t="str">
        <f>IFERROR(VLOOKUP(September[[#This Row],[Drug Name4]],'Data Options'!$R$1:$S$100,2,FALSE), " ")</f>
        <v xml:space="preserve"> </v>
      </c>
      <c r="AI113" s="32"/>
      <c r="AJ113" s="32"/>
      <c r="AK113" s="53"/>
      <c r="AL113" s="21" t="str">
        <f>IFERROR(VLOOKUP(September[[#This Row],[Drug Name5]],'Data Options'!$R$1:$S$100,2,FALSE), " ")</f>
        <v xml:space="preserve"> </v>
      </c>
      <c r="AM113" s="32"/>
      <c r="AN113" s="32"/>
      <c r="AO113" s="53"/>
      <c r="AP113" s="21" t="str">
        <f>IFERROR(VLOOKUP(September[[#This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21" t="str">
        <f>IFERROR(VLOOKUP(September[[#This Row],[Drug Name7]],'Data Options'!$R$1:$S$100,2,FALSE), " ")</f>
        <v xml:space="preserve"> </v>
      </c>
      <c r="AZ113" s="32"/>
      <c r="BA113" s="32"/>
      <c r="BB113" s="53"/>
      <c r="BC113" s="21" t="str">
        <f>IFERROR(VLOOKUP(September[[#This Row],[Drug Name8]],'Data Options'!$R$1:$S$100,2,FALSE), " ")</f>
        <v xml:space="preserve"> </v>
      </c>
      <c r="BD113" s="32"/>
      <c r="BE113" s="32"/>
      <c r="BF113" s="53"/>
      <c r="BG113" s="21" t="str">
        <f>IFERROR(VLOOKUP(September[[#This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21" t="str">
        <f>IFERROR(VLOOKUP(September[[#This Row],[Drug Name]],'Data Options'!$R$1:$S$100,2,FALSE), " ")</f>
        <v xml:space="preserve"> </v>
      </c>
      <c r="R114" s="32"/>
      <c r="S114" s="32"/>
      <c r="T114" s="53"/>
      <c r="U114" s="21" t="str">
        <f>IFERROR(VLOOKUP(September[[#This Row],[Drug Name2]],'Data Options'!$R$1:$S$100,2,FALSE), " ")</f>
        <v xml:space="preserve"> </v>
      </c>
      <c r="V114" s="32"/>
      <c r="W114" s="32"/>
      <c r="X114" s="53"/>
      <c r="Y114" s="21" t="str">
        <f>IFERROR(VLOOKUP(September[[#This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21" t="str">
        <f>IFERROR(VLOOKUP(September[[#This Row],[Drug Name4]],'Data Options'!$R$1:$S$100,2,FALSE), " ")</f>
        <v xml:space="preserve"> </v>
      </c>
      <c r="AI114" s="32"/>
      <c r="AJ114" s="32"/>
      <c r="AK114" s="53"/>
      <c r="AL114" s="21" t="str">
        <f>IFERROR(VLOOKUP(September[[#This Row],[Drug Name5]],'Data Options'!$R$1:$S$100,2,FALSE), " ")</f>
        <v xml:space="preserve"> </v>
      </c>
      <c r="AM114" s="32"/>
      <c r="AN114" s="32"/>
      <c r="AO114" s="53"/>
      <c r="AP114" s="21" t="str">
        <f>IFERROR(VLOOKUP(September[[#This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21" t="str">
        <f>IFERROR(VLOOKUP(September[[#This Row],[Drug Name7]],'Data Options'!$R$1:$S$100,2,FALSE), " ")</f>
        <v xml:space="preserve"> </v>
      </c>
      <c r="AZ114" s="32"/>
      <c r="BA114" s="32"/>
      <c r="BB114" s="53"/>
      <c r="BC114" s="21" t="str">
        <f>IFERROR(VLOOKUP(September[[#This Row],[Drug Name8]],'Data Options'!$R$1:$S$100,2,FALSE), " ")</f>
        <v xml:space="preserve"> </v>
      </c>
      <c r="BD114" s="32"/>
      <c r="BE114" s="32"/>
      <c r="BF114" s="53"/>
      <c r="BG114" s="21" t="str">
        <f>IFERROR(VLOOKUP(September[[#This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21" t="str">
        <f>IFERROR(VLOOKUP(September[[#This Row],[Drug Name]],'Data Options'!$R$1:$S$100,2,FALSE), " ")</f>
        <v xml:space="preserve"> </v>
      </c>
      <c r="R115" s="32"/>
      <c r="S115" s="32"/>
      <c r="T115" s="53"/>
      <c r="U115" s="21" t="str">
        <f>IFERROR(VLOOKUP(September[[#This Row],[Drug Name2]],'Data Options'!$R$1:$S$100,2,FALSE), " ")</f>
        <v xml:space="preserve"> </v>
      </c>
      <c r="V115" s="32"/>
      <c r="W115" s="32"/>
      <c r="X115" s="53"/>
      <c r="Y115" s="21" t="str">
        <f>IFERROR(VLOOKUP(September[[#This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21" t="str">
        <f>IFERROR(VLOOKUP(September[[#This Row],[Drug Name4]],'Data Options'!$R$1:$S$100,2,FALSE), " ")</f>
        <v xml:space="preserve"> </v>
      </c>
      <c r="AI115" s="32"/>
      <c r="AJ115" s="32"/>
      <c r="AK115" s="53"/>
      <c r="AL115" s="21" t="str">
        <f>IFERROR(VLOOKUP(September[[#This Row],[Drug Name5]],'Data Options'!$R$1:$S$100,2,FALSE), " ")</f>
        <v xml:space="preserve"> </v>
      </c>
      <c r="AM115" s="32"/>
      <c r="AN115" s="32"/>
      <c r="AO115" s="53"/>
      <c r="AP115" s="21" t="str">
        <f>IFERROR(VLOOKUP(September[[#This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21" t="str">
        <f>IFERROR(VLOOKUP(September[[#This Row],[Drug Name7]],'Data Options'!$R$1:$S$100,2,FALSE), " ")</f>
        <v xml:space="preserve"> </v>
      </c>
      <c r="AZ115" s="32"/>
      <c r="BA115" s="32"/>
      <c r="BB115" s="53"/>
      <c r="BC115" s="21" t="str">
        <f>IFERROR(VLOOKUP(September[[#This Row],[Drug Name8]],'Data Options'!$R$1:$S$100,2,FALSE), " ")</f>
        <v xml:space="preserve"> </v>
      </c>
      <c r="BD115" s="32"/>
      <c r="BE115" s="32"/>
      <c r="BF115" s="53"/>
      <c r="BG115" s="21" t="str">
        <f>IFERROR(VLOOKUP(September[[#This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21" t="str">
        <f>IFERROR(VLOOKUP(September[[#This Row],[Drug Name]],'Data Options'!$R$1:$S$100,2,FALSE), " ")</f>
        <v xml:space="preserve"> </v>
      </c>
      <c r="R116" s="32"/>
      <c r="S116" s="32"/>
      <c r="T116" s="53"/>
      <c r="U116" s="21" t="str">
        <f>IFERROR(VLOOKUP(September[[#This Row],[Drug Name2]],'Data Options'!$R$1:$S$100,2,FALSE), " ")</f>
        <v xml:space="preserve"> </v>
      </c>
      <c r="V116" s="32"/>
      <c r="W116" s="32"/>
      <c r="X116" s="53"/>
      <c r="Y116" s="21" t="str">
        <f>IFERROR(VLOOKUP(September[[#This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21" t="str">
        <f>IFERROR(VLOOKUP(September[[#This Row],[Drug Name4]],'Data Options'!$R$1:$S$100,2,FALSE), " ")</f>
        <v xml:space="preserve"> </v>
      </c>
      <c r="AI116" s="32"/>
      <c r="AJ116" s="32"/>
      <c r="AK116" s="53"/>
      <c r="AL116" s="21" t="str">
        <f>IFERROR(VLOOKUP(September[[#This Row],[Drug Name5]],'Data Options'!$R$1:$S$100,2,FALSE), " ")</f>
        <v xml:space="preserve"> </v>
      </c>
      <c r="AM116" s="32"/>
      <c r="AN116" s="32"/>
      <c r="AO116" s="53"/>
      <c r="AP116" s="21" t="str">
        <f>IFERROR(VLOOKUP(September[[#This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21" t="str">
        <f>IFERROR(VLOOKUP(September[[#This Row],[Drug Name7]],'Data Options'!$R$1:$S$100,2,FALSE), " ")</f>
        <v xml:space="preserve"> </v>
      </c>
      <c r="AZ116" s="32"/>
      <c r="BA116" s="32"/>
      <c r="BB116" s="53"/>
      <c r="BC116" s="21" t="str">
        <f>IFERROR(VLOOKUP(September[[#This Row],[Drug Name8]],'Data Options'!$R$1:$S$100,2,FALSE), " ")</f>
        <v xml:space="preserve"> </v>
      </c>
      <c r="BD116" s="32"/>
      <c r="BE116" s="32"/>
      <c r="BF116" s="53"/>
      <c r="BG116" s="21" t="str">
        <f>IFERROR(VLOOKUP(September[[#This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21" t="str">
        <f>IFERROR(VLOOKUP(September[[#This Row],[Drug Name]],'Data Options'!$R$1:$S$100,2,FALSE), " ")</f>
        <v xml:space="preserve"> </v>
      </c>
      <c r="R117" s="32"/>
      <c r="S117" s="32"/>
      <c r="T117" s="53"/>
      <c r="U117" s="21" t="str">
        <f>IFERROR(VLOOKUP(September[[#This Row],[Drug Name2]],'Data Options'!$R$1:$S$100,2,FALSE), " ")</f>
        <v xml:space="preserve"> </v>
      </c>
      <c r="V117" s="32"/>
      <c r="W117" s="32"/>
      <c r="X117" s="53"/>
      <c r="Y117" s="21" t="str">
        <f>IFERROR(VLOOKUP(September[[#This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21" t="str">
        <f>IFERROR(VLOOKUP(September[[#This Row],[Drug Name4]],'Data Options'!$R$1:$S$100,2,FALSE), " ")</f>
        <v xml:space="preserve"> </v>
      </c>
      <c r="AI117" s="32"/>
      <c r="AJ117" s="32"/>
      <c r="AK117" s="53"/>
      <c r="AL117" s="21" t="str">
        <f>IFERROR(VLOOKUP(September[[#This Row],[Drug Name5]],'Data Options'!$R$1:$S$100,2,FALSE), " ")</f>
        <v xml:space="preserve"> </v>
      </c>
      <c r="AM117" s="32"/>
      <c r="AN117" s="32"/>
      <c r="AO117" s="53"/>
      <c r="AP117" s="21" t="str">
        <f>IFERROR(VLOOKUP(September[[#This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21" t="str">
        <f>IFERROR(VLOOKUP(September[[#This Row],[Drug Name7]],'Data Options'!$R$1:$S$100,2,FALSE), " ")</f>
        <v xml:space="preserve"> </v>
      </c>
      <c r="AZ117" s="32"/>
      <c r="BA117" s="32"/>
      <c r="BB117" s="53"/>
      <c r="BC117" s="21" t="str">
        <f>IFERROR(VLOOKUP(September[[#This Row],[Drug Name8]],'Data Options'!$R$1:$S$100,2,FALSE), " ")</f>
        <v xml:space="preserve"> </v>
      </c>
      <c r="BD117" s="32"/>
      <c r="BE117" s="32"/>
      <c r="BF117" s="53"/>
      <c r="BG117" s="21" t="str">
        <f>IFERROR(VLOOKUP(September[[#This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21" t="str">
        <f>IFERROR(VLOOKUP(September[[#This Row],[Drug Name]],'Data Options'!$R$1:$S$100,2,FALSE), " ")</f>
        <v xml:space="preserve"> </v>
      </c>
      <c r="R118" s="32"/>
      <c r="S118" s="32"/>
      <c r="T118" s="53"/>
      <c r="U118" s="21" t="str">
        <f>IFERROR(VLOOKUP(September[[#This Row],[Drug Name2]],'Data Options'!$R$1:$S$100,2,FALSE), " ")</f>
        <v xml:space="preserve"> </v>
      </c>
      <c r="V118" s="32"/>
      <c r="W118" s="32"/>
      <c r="X118" s="53"/>
      <c r="Y118" s="21" t="str">
        <f>IFERROR(VLOOKUP(September[[#This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21" t="str">
        <f>IFERROR(VLOOKUP(September[[#This Row],[Drug Name4]],'Data Options'!$R$1:$S$100,2,FALSE), " ")</f>
        <v xml:space="preserve"> </v>
      </c>
      <c r="AI118" s="32"/>
      <c r="AJ118" s="32"/>
      <c r="AK118" s="53"/>
      <c r="AL118" s="21" t="str">
        <f>IFERROR(VLOOKUP(September[[#This Row],[Drug Name5]],'Data Options'!$R$1:$S$100,2,FALSE), " ")</f>
        <v xml:space="preserve"> </v>
      </c>
      <c r="AM118" s="32"/>
      <c r="AN118" s="32"/>
      <c r="AO118" s="53"/>
      <c r="AP118" s="21" t="str">
        <f>IFERROR(VLOOKUP(September[[#This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21" t="str">
        <f>IFERROR(VLOOKUP(September[[#This Row],[Drug Name7]],'Data Options'!$R$1:$S$100,2,FALSE), " ")</f>
        <v xml:space="preserve"> </v>
      </c>
      <c r="AZ118" s="32"/>
      <c r="BA118" s="32"/>
      <c r="BB118" s="53"/>
      <c r="BC118" s="21" t="str">
        <f>IFERROR(VLOOKUP(September[[#This Row],[Drug Name8]],'Data Options'!$R$1:$S$100,2,FALSE), " ")</f>
        <v xml:space="preserve"> </v>
      </c>
      <c r="BD118" s="32"/>
      <c r="BE118" s="32"/>
      <c r="BF118" s="53"/>
      <c r="BG118" s="21" t="str">
        <f>IFERROR(VLOOKUP(September[[#This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21" t="str">
        <f>IFERROR(VLOOKUP(September[[#This Row],[Drug Name]],'Data Options'!$R$1:$S$100,2,FALSE), " ")</f>
        <v xml:space="preserve"> </v>
      </c>
      <c r="R119" s="32"/>
      <c r="S119" s="32"/>
      <c r="T119" s="53"/>
      <c r="U119" s="21" t="str">
        <f>IFERROR(VLOOKUP(September[[#This Row],[Drug Name2]],'Data Options'!$R$1:$S$100,2,FALSE), " ")</f>
        <v xml:space="preserve"> </v>
      </c>
      <c r="V119" s="32"/>
      <c r="W119" s="32"/>
      <c r="X119" s="53"/>
      <c r="Y119" s="21" t="str">
        <f>IFERROR(VLOOKUP(September[[#This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21" t="str">
        <f>IFERROR(VLOOKUP(September[[#This Row],[Drug Name4]],'Data Options'!$R$1:$S$100,2,FALSE), " ")</f>
        <v xml:space="preserve"> </v>
      </c>
      <c r="AI119" s="32"/>
      <c r="AJ119" s="32"/>
      <c r="AK119" s="53"/>
      <c r="AL119" s="21" t="str">
        <f>IFERROR(VLOOKUP(September[[#This Row],[Drug Name5]],'Data Options'!$R$1:$S$100,2,FALSE), " ")</f>
        <v xml:space="preserve"> </v>
      </c>
      <c r="AM119" s="32"/>
      <c r="AN119" s="32"/>
      <c r="AO119" s="53"/>
      <c r="AP119" s="21" t="str">
        <f>IFERROR(VLOOKUP(September[[#This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21" t="str">
        <f>IFERROR(VLOOKUP(September[[#This Row],[Drug Name7]],'Data Options'!$R$1:$S$100,2,FALSE), " ")</f>
        <v xml:space="preserve"> </v>
      </c>
      <c r="AZ119" s="32"/>
      <c r="BA119" s="32"/>
      <c r="BB119" s="53"/>
      <c r="BC119" s="21" t="str">
        <f>IFERROR(VLOOKUP(September[[#This Row],[Drug Name8]],'Data Options'!$R$1:$S$100,2,FALSE), " ")</f>
        <v xml:space="preserve"> </v>
      </c>
      <c r="BD119" s="32"/>
      <c r="BE119" s="32"/>
      <c r="BF119" s="53"/>
      <c r="BG119" s="21" t="str">
        <f>IFERROR(VLOOKUP(September[[#This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21" t="str">
        <f>IFERROR(VLOOKUP(September[[#This Row],[Drug Name]],'Data Options'!$R$1:$S$100,2,FALSE), " ")</f>
        <v xml:space="preserve"> </v>
      </c>
      <c r="R120" s="32"/>
      <c r="S120" s="32"/>
      <c r="T120" s="53"/>
      <c r="U120" s="21" t="str">
        <f>IFERROR(VLOOKUP(September[[#This Row],[Drug Name2]],'Data Options'!$R$1:$S$100,2,FALSE), " ")</f>
        <v xml:space="preserve"> </v>
      </c>
      <c r="V120" s="32"/>
      <c r="W120" s="32"/>
      <c r="X120" s="53"/>
      <c r="Y120" s="21" t="str">
        <f>IFERROR(VLOOKUP(September[[#This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21" t="str">
        <f>IFERROR(VLOOKUP(September[[#This Row],[Drug Name4]],'Data Options'!$R$1:$S$100,2,FALSE), " ")</f>
        <v xml:space="preserve"> </v>
      </c>
      <c r="AI120" s="32"/>
      <c r="AJ120" s="32"/>
      <c r="AK120" s="53"/>
      <c r="AL120" s="21" t="str">
        <f>IFERROR(VLOOKUP(September[[#This Row],[Drug Name5]],'Data Options'!$R$1:$S$100,2,FALSE), " ")</f>
        <v xml:space="preserve"> </v>
      </c>
      <c r="AM120" s="32"/>
      <c r="AN120" s="32"/>
      <c r="AO120" s="53"/>
      <c r="AP120" s="21" t="str">
        <f>IFERROR(VLOOKUP(September[[#This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21" t="str">
        <f>IFERROR(VLOOKUP(September[[#This Row],[Drug Name7]],'Data Options'!$R$1:$S$100,2,FALSE), " ")</f>
        <v xml:space="preserve"> </v>
      </c>
      <c r="AZ120" s="32"/>
      <c r="BA120" s="32"/>
      <c r="BB120" s="53"/>
      <c r="BC120" s="21" t="str">
        <f>IFERROR(VLOOKUP(September[[#This Row],[Drug Name8]],'Data Options'!$R$1:$S$100,2,FALSE), " ")</f>
        <v xml:space="preserve"> </v>
      </c>
      <c r="BD120" s="32"/>
      <c r="BE120" s="32"/>
      <c r="BF120" s="53"/>
      <c r="BG120" s="21" t="str">
        <f>IFERROR(VLOOKUP(September[[#This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21" t="str">
        <f>IFERROR(VLOOKUP(September[[#This Row],[Drug Name]],'Data Options'!$R$1:$S$100,2,FALSE), " ")</f>
        <v xml:space="preserve"> </v>
      </c>
      <c r="R121" s="32"/>
      <c r="S121" s="32"/>
      <c r="T121" s="53"/>
      <c r="U121" s="21" t="str">
        <f>IFERROR(VLOOKUP(September[[#This Row],[Drug Name2]],'Data Options'!$R$1:$S$100,2,FALSE), " ")</f>
        <v xml:space="preserve"> </v>
      </c>
      <c r="V121" s="32"/>
      <c r="W121" s="32"/>
      <c r="X121" s="53"/>
      <c r="Y121" s="21" t="str">
        <f>IFERROR(VLOOKUP(September[[#This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21" t="str">
        <f>IFERROR(VLOOKUP(September[[#This Row],[Drug Name4]],'Data Options'!$R$1:$S$100,2,FALSE), " ")</f>
        <v xml:space="preserve"> </v>
      </c>
      <c r="AI121" s="32"/>
      <c r="AJ121" s="32"/>
      <c r="AK121" s="53"/>
      <c r="AL121" s="21" t="str">
        <f>IFERROR(VLOOKUP(September[[#This Row],[Drug Name5]],'Data Options'!$R$1:$S$100,2,FALSE), " ")</f>
        <v xml:space="preserve"> </v>
      </c>
      <c r="AM121" s="32"/>
      <c r="AN121" s="32"/>
      <c r="AO121" s="53"/>
      <c r="AP121" s="21" t="str">
        <f>IFERROR(VLOOKUP(September[[#This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21" t="str">
        <f>IFERROR(VLOOKUP(September[[#This Row],[Drug Name7]],'Data Options'!$R$1:$S$100,2,FALSE), " ")</f>
        <v xml:space="preserve"> </v>
      </c>
      <c r="AZ121" s="32"/>
      <c r="BA121" s="32"/>
      <c r="BB121" s="53"/>
      <c r="BC121" s="21" t="str">
        <f>IFERROR(VLOOKUP(September[[#This Row],[Drug Name8]],'Data Options'!$R$1:$S$100,2,FALSE), " ")</f>
        <v xml:space="preserve"> </v>
      </c>
      <c r="BD121" s="32"/>
      <c r="BE121" s="32"/>
      <c r="BF121" s="53"/>
      <c r="BG121" s="21" t="str">
        <f>IFERROR(VLOOKUP(September[[#This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21" t="str">
        <f>IFERROR(VLOOKUP(September[[#This Row],[Drug Name]],'Data Options'!$R$1:$S$100,2,FALSE), " ")</f>
        <v xml:space="preserve"> </v>
      </c>
      <c r="R122" s="32"/>
      <c r="S122" s="32"/>
      <c r="T122" s="53"/>
      <c r="U122" s="21" t="str">
        <f>IFERROR(VLOOKUP(September[[#This Row],[Drug Name2]],'Data Options'!$R$1:$S$100,2,FALSE), " ")</f>
        <v xml:space="preserve"> </v>
      </c>
      <c r="V122" s="32"/>
      <c r="W122" s="32"/>
      <c r="X122" s="53"/>
      <c r="Y122" s="21" t="str">
        <f>IFERROR(VLOOKUP(September[[#This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21" t="str">
        <f>IFERROR(VLOOKUP(September[[#This Row],[Drug Name4]],'Data Options'!$R$1:$S$100,2,FALSE), " ")</f>
        <v xml:space="preserve"> </v>
      </c>
      <c r="AI122" s="32"/>
      <c r="AJ122" s="32"/>
      <c r="AK122" s="53"/>
      <c r="AL122" s="21" t="str">
        <f>IFERROR(VLOOKUP(September[[#This Row],[Drug Name5]],'Data Options'!$R$1:$S$100,2,FALSE), " ")</f>
        <v xml:space="preserve"> </v>
      </c>
      <c r="AM122" s="32"/>
      <c r="AN122" s="32"/>
      <c r="AO122" s="53"/>
      <c r="AP122" s="21" t="str">
        <f>IFERROR(VLOOKUP(September[[#This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21" t="str">
        <f>IFERROR(VLOOKUP(September[[#This Row],[Drug Name7]],'Data Options'!$R$1:$S$100,2,FALSE), " ")</f>
        <v xml:space="preserve"> </v>
      </c>
      <c r="AZ122" s="32"/>
      <c r="BA122" s="32"/>
      <c r="BB122" s="53"/>
      <c r="BC122" s="21" t="str">
        <f>IFERROR(VLOOKUP(September[[#This Row],[Drug Name8]],'Data Options'!$R$1:$S$100,2,FALSE), " ")</f>
        <v xml:space="preserve"> </v>
      </c>
      <c r="BD122" s="32"/>
      <c r="BE122" s="32"/>
      <c r="BF122" s="53"/>
      <c r="BG122" s="21" t="str">
        <f>IFERROR(VLOOKUP(September[[#This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21" t="str">
        <f>IFERROR(VLOOKUP(September[[#This Row],[Drug Name]],'Data Options'!$R$1:$S$100,2,FALSE), " ")</f>
        <v xml:space="preserve"> </v>
      </c>
      <c r="R123" s="32"/>
      <c r="S123" s="32"/>
      <c r="T123" s="53"/>
      <c r="U123" s="21" t="str">
        <f>IFERROR(VLOOKUP(September[[#This Row],[Drug Name2]],'Data Options'!$R$1:$S$100,2,FALSE), " ")</f>
        <v xml:space="preserve"> </v>
      </c>
      <c r="V123" s="32"/>
      <c r="W123" s="32"/>
      <c r="X123" s="53"/>
      <c r="Y123" s="21" t="str">
        <f>IFERROR(VLOOKUP(September[[#This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21" t="str">
        <f>IFERROR(VLOOKUP(September[[#This Row],[Drug Name4]],'Data Options'!$R$1:$S$100,2,FALSE), " ")</f>
        <v xml:space="preserve"> </v>
      </c>
      <c r="AI123" s="32"/>
      <c r="AJ123" s="32"/>
      <c r="AK123" s="53"/>
      <c r="AL123" s="21" t="str">
        <f>IFERROR(VLOOKUP(September[[#This Row],[Drug Name5]],'Data Options'!$R$1:$S$100,2,FALSE), " ")</f>
        <v xml:space="preserve"> </v>
      </c>
      <c r="AM123" s="32"/>
      <c r="AN123" s="32"/>
      <c r="AO123" s="53"/>
      <c r="AP123" s="21" t="str">
        <f>IFERROR(VLOOKUP(September[[#This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21" t="str">
        <f>IFERROR(VLOOKUP(September[[#This Row],[Drug Name7]],'Data Options'!$R$1:$S$100,2,FALSE), " ")</f>
        <v xml:space="preserve"> </v>
      </c>
      <c r="AZ123" s="32"/>
      <c r="BA123" s="32"/>
      <c r="BB123" s="53"/>
      <c r="BC123" s="21" t="str">
        <f>IFERROR(VLOOKUP(September[[#This Row],[Drug Name8]],'Data Options'!$R$1:$S$100,2,FALSE), " ")</f>
        <v xml:space="preserve"> </v>
      </c>
      <c r="BD123" s="32"/>
      <c r="BE123" s="32"/>
      <c r="BF123" s="53"/>
      <c r="BG123" s="21" t="str">
        <f>IFERROR(VLOOKUP(September[[#This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21" t="str">
        <f>IFERROR(VLOOKUP(September[[#This Row],[Drug Name]],'Data Options'!$R$1:$S$100,2,FALSE), " ")</f>
        <v xml:space="preserve"> </v>
      </c>
      <c r="R124" s="32"/>
      <c r="S124" s="32"/>
      <c r="T124" s="53"/>
      <c r="U124" s="21" t="str">
        <f>IFERROR(VLOOKUP(September[[#This Row],[Drug Name2]],'Data Options'!$R$1:$S$100,2,FALSE), " ")</f>
        <v xml:space="preserve"> </v>
      </c>
      <c r="V124" s="32"/>
      <c r="W124" s="32"/>
      <c r="X124" s="53"/>
      <c r="Y124" s="21" t="str">
        <f>IFERROR(VLOOKUP(September[[#This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21" t="str">
        <f>IFERROR(VLOOKUP(September[[#This Row],[Drug Name4]],'Data Options'!$R$1:$S$100,2,FALSE), " ")</f>
        <v xml:space="preserve"> </v>
      </c>
      <c r="AI124" s="32"/>
      <c r="AJ124" s="32"/>
      <c r="AK124" s="53"/>
      <c r="AL124" s="21" t="str">
        <f>IFERROR(VLOOKUP(September[[#This Row],[Drug Name5]],'Data Options'!$R$1:$S$100,2,FALSE), " ")</f>
        <v xml:space="preserve"> </v>
      </c>
      <c r="AM124" s="32"/>
      <c r="AN124" s="32"/>
      <c r="AO124" s="53"/>
      <c r="AP124" s="21" t="str">
        <f>IFERROR(VLOOKUP(September[[#This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21" t="str">
        <f>IFERROR(VLOOKUP(September[[#This Row],[Drug Name7]],'Data Options'!$R$1:$S$100,2,FALSE), " ")</f>
        <v xml:space="preserve"> </v>
      </c>
      <c r="AZ124" s="32"/>
      <c r="BA124" s="32"/>
      <c r="BB124" s="53"/>
      <c r="BC124" s="21" t="str">
        <f>IFERROR(VLOOKUP(September[[#This Row],[Drug Name8]],'Data Options'!$R$1:$S$100,2,FALSE), " ")</f>
        <v xml:space="preserve"> </v>
      </c>
      <c r="BD124" s="32"/>
      <c r="BE124" s="32"/>
      <c r="BF124" s="53"/>
      <c r="BG124" s="21" t="str">
        <f>IFERROR(VLOOKUP(September[[#This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21" t="str">
        <f>IFERROR(VLOOKUP(September[[#This Row],[Drug Name]],'Data Options'!$R$1:$S$100,2,FALSE), " ")</f>
        <v xml:space="preserve"> </v>
      </c>
      <c r="R125" s="32"/>
      <c r="S125" s="32"/>
      <c r="T125" s="53"/>
      <c r="U125" s="21" t="str">
        <f>IFERROR(VLOOKUP(September[[#This Row],[Drug Name2]],'Data Options'!$R$1:$S$100,2,FALSE), " ")</f>
        <v xml:space="preserve"> </v>
      </c>
      <c r="V125" s="32"/>
      <c r="W125" s="32"/>
      <c r="X125" s="53"/>
      <c r="Y125" s="21" t="str">
        <f>IFERROR(VLOOKUP(September[[#This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21" t="str">
        <f>IFERROR(VLOOKUP(September[[#This Row],[Drug Name4]],'Data Options'!$R$1:$S$100,2,FALSE), " ")</f>
        <v xml:space="preserve"> </v>
      </c>
      <c r="AI125" s="32"/>
      <c r="AJ125" s="32"/>
      <c r="AK125" s="53"/>
      <c r="AL125" s="21" t="str">
        <f>IFERROR(VLOOKUP(September[[#This Row],[Drug Name5]],'Data Options'!$R$1:$S$100,2,FALSE), " ")</f>
        <v xml:space="preserve"> </v>
      </c>
      <c r="AM125" s="32"/>
      <c r="AN125" s="32"/>
      <c r="AO125" s="53"/>
      <c r="AP125" s="21" t="str">
        <f>IFERROR(VLOOKUP(September[[#This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21" t="str">
        <f>IFERROR(VLOOKUP(September[[#This Row],[Drug Name7]],'Data Options'!$R$1:$S$100,2,FALSE), " ")</f>
        <v xml:space="preserve"> </v>
      </c>
      <c r="AZ125" s="32"/>
      <c r="BA125" s="32"/>
      <c r="BB125" s="53"/>
      <c r="BC125" s="21" t="str">
        <f>IFERROR(VLOOKUP(September[[#This Row],[Drug Name8]],'Data Options'!$R$1:$S$100,2,FALSE), " ")</f>
        <v xml:space="preserve"> </v>
      </c>
      <c r="BD125" s="32"/>
      <c r="BE125" s="32"/>
      <c r="BF125" s="53"/>
      <c r="BG125" s="21" t="str">
        <f>IFERROR(VLOOKUP(September[[#This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21" t="str">
        <f>IFERROR(VLOOKUP(September[[#This Row],[Drug Name]],'Data Options'!$R$1:$S$100,2,FALSE), " ")</f>
        <v xml:space="preserve"> </v>
      </c>
      <c r="R126" s="32"/>
      <c r="S126" s="32"/>
      <c r="T126" s="53"/>
      <c r="U126" s="21" t="str">
        <f>IFERROR(VLOOKUP(September[[#This Row],[Drug Name2]],'Data Options'!$R$1:$S$100,2,FALSE), " ")</f>
        <v xml:space="preserve"> </v>
      </c>
      <c r="V126" s="32"/>
      <c r="W126" s="32"/>
      <c r="X126" s="53"/>
      <c r="Y126" s="21" t="str">
        <f>IFERROR(VLOOKUP(September[[#This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21" t="str">
        <f>IFERROR(VLOOKUP(September[[#This Row],[Drug Name4]],'Data Options'!$R$1:$S$100,2,FALSE), " ")</f>
        <v xml:space="preserve"> </v>
      </c>
      <c r="AI126" s="32"/>
      <c r="AJ126" s="32"/>
      <c r="AK126" s="53"/>
      <c r="AL126" s="21" t="str">
        <f>IFERROR(VLOOKUP(September[[#This Row],[Drug Name5]],'Data Options'!$R$1:$S$100,2,FALSE), " ")</f>
        <v xml:space="preserve"> </v>
      </c>
      <c r="AM126" s="32"/>
      <c r="AN126" s="32"/>
      <c r="AO126" s="53"/>
      <c r="AP126" s="21" t="str">
        <f>IFERROR(VLOOKUP(September[[#This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21" t="str">
        <f>IFERROR(VLOOKUP(September[[#This Row],[Drug Name7]],'Data Options'!$R$1:$S$100,2,FALSE), " ")</f>
        <v xml:space="preserve"> </v>
      </c>
      <c r="AZ126" s="32"/>
      <c r="BA126" s="32"/>
      <c r="BB126" s="53"/>
      <c r="BC126" s="21" t="str">
        <f>IFERROR(VLOOKUP(September[[#This Row],[Drug Name8]],'Data Options'!$R$1:$S$100,2,FALSE), " ")</f>
        <v xml:space="preserve"> </v>
      </c>
      <c r="BD126" s="32"/>
      <c r="BE126" s="32"/>
      <c r="BF126" s="53"/>
      <c r="BG126" s="21" t="str">
        <f>IFERROR(VLOOKUP(September[[#This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21" t="str">
        <f>IFERROR(VLOOKUP(September[[#This Row],[Drug Name]],'Data Options'!$R$1:$S$100,2,FALSE), " ")</f>
        <v xml:space="preserve"> </v>
      </c>
      <c r="R127" s="32"/>
      <c r="S127" s="32"/>
      <c r="T127" s="53"/>
      <c r="U127" s="21" t="str">
        <f>IFERROR(VLOOKUP(September[[#This Row],[Drug Name2]],'Data Options'!$R$1:$S$100,2,FALSE), " ")</f>
        <v xml:space="preserve"> </v>
      </c>
      <c r="V127" s="32"/>
      <c r="W127" s="32"/>
      <c r="X127" s="53"/>
      <c r="Y127" s="21" t="str">
        <f>IFERROR(VLOOKUP(September[[#This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21" t="str">
        <f>IFERROR(VLOOKUP(September[[#This Row],[Drug Name4]],'Data Options'!$R$1:$S$100,2,FALSE), " ")</f>
        <v xml:space="preserve"> </v>
      </c>
      <c r="AI127" s="32"/>
      <c r="AJ127" s="32"/>
      <c r="AK127" s="53"/>
      <c r="AL127" s="21" t="str">
        <f>IFERROR(VLOOKUP(September[[#This Row],[Drug Name5]],'Data Options'!$R$1:$S$100,2,FALSE), " ")</f>
        <v xml:space="preserve"> </v>
      </c>
      <c r="AM127" s="32"/>
      <c r="AN127" s="32"/>
      <c r="AO127" s="53"/>
      <c r="AP127" s="21" t="str">
        <f>IFERROR(VLOOKUP(September[[#This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21" t="str">
        <f>IFERROR(VLOOKUP(September[[#This Row],[Drug Name7]],'Data Options'!$R$1:$S$100,2,FALSE), " ")</f>
        <v xml:space="preserve"> </v>
      </c>
      <c r="AZ127" s="32"/>
      <c r="BA127" s="32"/>
      <c r="BB127" s="53"/>
      <c r="BC127" s="21" t="str">
        <f>IFERROR(VLOOKUP(September[[#This Row],[Drug Name8]],'Data Options'!$R$1:$S$100,2,FALSE), " ")</f>
        <v xml:space="preserve"> </v>
      </c>
      <c r="BD127" s="32"/>
      <c r="BE127" s="32"/>
      <c r="BF127" s="53"/>
      <c r="BG127" s="21" t="str">
        <f>IFERROR(VLOOKUP(September[[#This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21" t="str">
        <f>IFERROR(VLOOKUP(September[[#This Row],[Drug Name]],'Data Options'!$R$1:$S$100,2,FALSE), " ")</f>
        <v xml:space="preserve"> </v>
      </c>
      <c r="R128" s="32"/>
      <c r="S128" s="32"/>
      <c r="T128" s="53"/>
      <c r="U128" s="21" t="str">
        <f>IFERROR(VLOOKUP(September[[#This Row],[Drug Name2]],'Data Options'!$R$1:$S$100,2,FALSE), " ")</f>
        <v xml:space="preserve"> </v>
      </c>
      <c r="V128" s="32"/>
      <c r="W128" s="32"/>
      <c r="X128" s="53"/>
      <c r="Y128" s="21" t="str">
        <f>IFERROR(VLOOKUP(September[[#This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21" t="str">
        <f>IFERROR(VLOOKUP(September[[#This Row],[Drug Name4]],'Data Options'!$R$1:$S$100,2,FALSE), " ")</f>
        <v xml:space="preserve"> </v>
      </c>
      <c r="AI128" s="32"/>
      <c r="AJ128" s="32"/>
      <c r="AK128" s="53"/>
      <c r="AL128" s="21" t="str">
        <f>IFERROR(VLOOKUP(September[[#This Row],[Drug Name5]],'Data Options'!$R$1:$S$100,2,FALSE), " ")</f>
        <v xml:space="preserve"> </v>
      </c>
      <c r="AM128" s="32"/>
      <c r="AN128" s="32"/>
      <c r="AO128" s="53"/>
      <c r="AP128" s="21" t="str">
        <f>IFERROR(VLOOKUP(September[[#This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21" t="str">
        <f>IFERROR(VLOOKUP(September[[#This Row],[Drug Name7]],'Data Options'!$R$1:$S$100,2,FALSE), " ")</f>
        <v xml:space="preserve"> </v>
      </c>
      <c r="AZ128" s="32"/>
      <c r="BA128" s="32"/>
      <c r="BB128" s="53"/>
      <c r="BC128" s="21" t="str">
        <f>IFERROR(VLOOKUP(September[[#This Row],[Drug Name8]],'Data Options'!$R$1:$S$100,2,FALSE), " ")</f>
        <v xml:space="preserve"> </v>
      </c>
      <c r="BD128" s="32"/>
      <c r="BE128" s="32"/>
      <c r="BF128" s="53"/>
      <c r="BG128" s="21" t="str">
        <f>IFERROR(VLOOKUP(September[[#This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21" t="str">
        <f>IFERROR(VLOOKUP(September[[#This Row],[Drug Name]],'Data Options'!$R$1:$S$100,2,FALSE), " ")</f>
        <v xml:space="preserve"> </v>
      </c>
      <c r="R129" s="32"/>
      <c r="S129" s="32"/>
      <c r="T129" s="53"/>
      <c r="U129" s="21" t="str">
        <f>IFERROR(VLOOKUP(September[[#This Row],[Drug Name2]],'Data Options'!$R$1:$S$100,2,FALSE), " ")</f>
        <v xml:space="preserve"> </v>
      </c>
      <c r="V129" s="32"/>
      <c r="W129" s="32"/>
      <c r="X129" s="53"/>
      <c r="Y129" s="21" t="str">
        <f>IFERROR(VLOOKUP(September[[#This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21" t="str">
        <f>IFERROR(VLOOKUP(September[[#This Row],[Drug Name4]],'Data Options'!$R$1:$S$100,2,FALSE), " ")</f>
        <v xml:space="preserve"> </v>
      </c>
      <c r="AI129" s="32"/>
      <c r="AJ129" s="32"/>
      <c r="AK129" s="53"/>
      <c r="AL129" s="21" t="str">
        <f>IFERROR(VLOOKUP(September[[#This Row],[Drug Name5]],'Data Options'!$R$1:$S$100,2,FALSE), " ")</f>
        <v xml:space="preserve"> </v>
      </c>
      <c r="AM129" s="32"/>
      <c r="AN129" s="32"/>
      <c r="AO129" s="53"/>
      <c r="AP129" s="21" t="str">
        <f>IFERROR(VLOOKUP(September[[#This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21" t="str">
        <f>IFERROR(VLOOKUP(September[[#This Row],[Drug Name7]],'Data Options'!$R$1:$S$100,2,FALSE), " ")</f>
        <v xml:space="preserve"> </v>
      </c>
      <c r="AZ129" s="32"/>
      <c r="BA129" s="32"/>
      <c r="BB129" s="53"/>
      <c r="BC129" s="21" t="str">
        <f>IFERROR(VLOOKUP(September[[#This Row],[Drug Name8]],'Data Options'!$R$1:$S$100,2,FALSE), " ")</f>
        <v xml:space="preserve"> </v>
      </c>
      <c r="BD129" s="32"/>
      <c r="BE129" s="32"/>
      <c r="BF129" s="53"/>
      <c r="BG129" s="21" t="str">
        <f>IFERROR(VLOOKUP(September[[#This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21" t="str">
        <f>IFERROR(VLOOKUP(September[[#This Row],[Drug Name]],'Data Options'!$R$1:$S$100,2,FALSE), " ")</f>
        <v xml:space="preserve"> </v>
      </c>
      <c r="R130" s="32"/>
      <c r="S130" s="32"/>
      <c r="T130" s="53"/>
      <c r="U130" s="21" t="str">
        <f>IFERROR(VLOOKUP(September[[#This Row],[Drug Name2]],'Data Options'!$R$1:$S$100,2,FALSE), " ")</f>
        <v xml:space="preserve"> </v>
      </c>
      <c r="V130" s="32"/>
      <c r="W130" s="32"/>
      <c r="X130" s="53"/>
      <c r="Y130" s="21" t="str">
        <f>IFERROR(VLOOKUP(September[[#This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21" t="str">
        <f>IFERROR(VLOOKUP(September[[#This Row],[Drug Name4]],'Data Options'!$R$1:$S$100,2,FALSE), " ")</f>
        <v xml:space="preserve"> </v>
      </c>
      <c r="AI130" s="32"/>
      <c r="AJ130" s="32"/>
      <c r="AK130" s="53"/>
      <c r="AL130" s="21" t="str">
        <f>IFERROR(VLOOKUP(September[[#This Row],[Drug Name5]],'Data Options'!$R$1:$S$100,2,FALSE), " ")</f>
        <v xml:space="preserve"> </v>
      </c>
      <c r="AM130" s="32"/>
      <c r="AN130" s="32"/>
      <c r="AO130" s="53"/>
      <c r="AP130" s="21" t="str">
        <f>IFERROR(VLOOKUP(September[[#This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21" t="str">
        <f>IFERROR(VLOOKUP(September[[#This Row],[Drug Name7]],'Data Options'!$R$1:$S$100,2,FALSE), " ")</f>
        <v xml:space="preserve"> </v>
      </c>
      <c r="AZ130" s="32"/>
      <c r="BA130" s="32"/>
      <c r="BB130" s="53"/>
      <c r="BC130" s="21" t="str">
        <f>IFERROR(VLOOKUP(September[[#This Row],[Drug Name8]],'Data Options'!$R$1:$S$100,2,FALSE), " ")</f>
        <v xml:space="preserve"> </v>
      </c>
      <c r="BD130" s="32"/>
      <c r="BE130" s="32"/>
      <c r="BF130" s="53"/>
      <c r="BG130" s="21" t="str">
        <f>IFERROR(VLOOKUP(September[[#This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21" t="str">
        <f>IFERROR(VLOOKUP(September[[#This Row],[Drug Name]],'Data Options'!$R$1:$S$100,2,FALSE), " ")</f>
        <v xml:space="preserve"> </v>
      </c>
      <c r="R131" s="32"/>
      <c r="S131" s="32"/>
      <c r="T131" s="53"/>
      <c r="U131" s="21" t="str">
        <f>IFERROR(VLOOKUP(September[[#This Row],[Drug Name2]],'Data Options'!$R$1:$S$100,2,FALSE), " ")</f>
        <v xml:space="preserve"> </v>
      </c>
      <c r="V131" s="32"/>
      <c r="W131" s="32"/>
      <c r="X131" s="53"/>
      <c r="Y131" s="21" t="str">
        <f>IFERROR(VLOOKUP(September[[#This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21" t="str">
        <f>IFERROR(VLOOKUP(September[[#This Row],[Drug Name4]],'Data Options'!$R$1:$S$100,2,FALSE), " ")</f>
        <v xml:space="preserve"> </v>
      </c>
      <c r="AI131" s="32"/>
      <c r="AJ131" s="32"/>
      <c r="AK131" s="53"/>
      <c r="AL131" s="21" t="str">
        <f>IFERROR(VLOOKUP(September[[#This Row],[Drug Name5]],'Data Options'!$R$1:$S$100,2,FALSE), " ")</f>
        <v xml:space="preserve"> </v>
      </c>
      <c r="AM131" s="32"/>
      <c r="AN131" s="32"/>
      <c r="AO131" s="53"/>
      <c r="AP131" s="21" t="str">
        <f>IFERROR(VLOOKUP(September[[#This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21" t="str">
        <f>IFERROR(VLOOKUP(September[[#This Row],[Drug Name7]],'Data Options'!$R$1:$S$100,2,FALSE), " ")</f>
        <v xml:space="preserve"> </v>
      </c>
      <c r="AZ131" s="32"/>
      <c r="BA131" s="32"/>
      <c r="BB131" s="53"/>
      <c r="BC131" s="21" t="str">
        <f>IFERROR(VLOOKUP(September[[#This Row],[Drug Name8]],'Data Options'!$R$1:$S$100,2,FALSE), " ")</f>
        <v xml:space="preserve"> </v>
      </c>
      <c r="BD131" s="32"/>
      <c r="BE131" s="32"/>
      <c r="BF131" s="53"/>
      <c r="BG131" s="21" t="str">
        <f>IFERROR(VLOOKUP(September[[#This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21" t="str">
        <f>IFERROR(VLOOKUP(September[[#This Row],[Drug Name]],'Data Options'!$R$1:$S$100,2,FALSE), " ")</f>
        <v xml:space="preserve"> </v>
      </c>
      <c r="R132" s="32"/>
      <c r="S132" s="32"/>
      <c r="T132" s="53"/>
      <c r="U132" s="21" t="str">
        <f>IFERROR(VLOOKUP(September[[#This Row],[Drug Name2]],'Data Options'!$R$1:$S$100,2,FALSE), " ")</f>
        <v xml:space="preserve"> </v>
      </c>
      <c r="V132" s="32"/>
      <c r="W132" s="32"/>
      <c r="X132" s="53"/>
      <c r="Y132" s="21" t="str">
        <f>IFERROR(VLOOKUP(September[[#This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21" t="str">
        <f>IFERROR(VLOOKUP(September[[#This Row],[Drug Name4]],'Data Options'!$R$1:$S$100,2,FALSE), " ")</f>
        <v xml:space="preserve"> </v>
      </c>
      <c r="AI132" s="32"/>
      <c r="AJ132" s="32"/>
      <c r="AK132" s="53"/>
      <c r="AL132" s="21" t="str">
        <f>IFERROR(VLOOKUP(September[[#This Row],[Drug Name5]],'Data Options'!$R$1:$S$100,2,FALSE), " ")</f>
        <v xml:space="preserve"> </v>
      </c>
      <c r="AM132" s="32"/>
      <c r="AN132" s="32"/>
      <c r="AO132" s="53"/>
      <c r="AP132" s="21" t="str">
        <f>IFERROR(VLOOKUP(September[[#This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21" t="str">
        <f>IFERROR(VLOOKUP(September[[#This Row],[Drug Name7]],'Data Options'!$R$1:$S$100,2,FALSE), " ")</f>
        <v xml:space="preserve"> </v>
      </c>
      <c r="AZ132" s="32"/>
      <c r="BA132" s="32"/>
      <c r="BB132" s="53"/>
      <c r="BC132" s="21" t="str">
        <f>IFERROR(VLOOKUP(September[[#This Row],[Drug Name8]],'Data Options'!$R$1:$S$100,2,FALSE), " ")</f>
        <v xml:space="preserve"> </v>
      </c>
      <c r="BD132" s="32"/>
      <c r="BE132" s="32"/>
      <c r="BF132" s="53"/>
      <c r="BG132" s="21" t="str">
        <f>IFERROR(VLOOKUP(September[[#This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21" t="str">
        <f>IFERROR(VLOOKUP(September[[#This Row],[Drug Name]],'Data Options'!$R$1:$S$100,2,FALSE), " ")</f>
        <v xml:space="preserve"> </v>
      </c>
      <c r="R133" s="32"/>
      <c r="S133" s="32"/>
      <c r="T133" s="53"/>
      <c r="U133" s="21" t="str">
        <f>IFERROR(VLOOKUP(September[[#This Row],[Drug Name2]],'Data Options'!$R$1:$S$100,2,FALSE), " ")</f>
        <v xml:space="preserve"> </v>
      </c>
      <c r="V133" s="32"/>
      <c r="W133" s="32"/>
      <c r="X133" s="53"/>
      <c r="Y133" s="21" t="str">
        <f>IFERROR(VLOOKUP(September[[#This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21" t="str">
        <f>IFERROR(VLOOKUP(September[[#This Row],[Drug Name4]],'Data Options'!$R$1:$S$100,2,FALSE), " ")</f>
        <v xml:space="preserve"> </v>
      </c>
      <c r="AI133" s="32"/>
      <c r="AJ133" s="32"/>
      <c r="AK133" s="53"/>
      <c r="AL133" s="21" t="str">
        <f>IFERROR(VLOOKUP(September[[#This Row],[Drug Name5]],'Data Options'!$R$1:$S$100,2,FALSE), " ")</f>
        <v xml:space="preserve"> </v>
      </c>
      <c r="AM133" s="32"/>
      <c r="AN133" s="32"/>
      <c r="AO133" s="53"/>
      <c r="AP133" s="21" t="str">
        <f>IFERROR(VLOOKUP(September[[#This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21" t="str">
        <f>IFERROR(VLOOKUP(September[[#This Row],[Drug Name7]],'Data Options'!$R$1:$S$100,2,FALSE), " ")</f>
        <v xml:space="preserve"> </v>
      </c>
      <c r="AZ133" s="32"/>
      <c r="BA133" s="32"/>
      <c r="BB133" s="53"/>
      <c r="BC133" s="21" t="str">
        <f>IFERROR(VLOOKUP(September[[#This Row],[Drug Name8]],'Data Options'!$R$1:$S$100,2,FALSE), " ")</f>
        <v xml:space="preserve"> </v>
      </c>
      <c r="BD133" s="32"/>
      <c r="BE133" s="32"/>
      <c r="BF133" s="53"/>
      <c r="BG133" s="21" t="str">
        <f>IFERROR(VLOOKUP(September[[#This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21" t="str">
        <f>IFERROR(VLOOKUP(September[[#This Row],[Drug Name]],'Data Options'!$R$1:$S$100,2,FALSE), " ")</f>
        <v xml:space="preserve"> </v>
      </c>
      <c r="R134" s="32"/>
      <c r="S134" s="32"/>
      <c r="T134" s="53"/>
      <c r="U134" s="21" t="str">
        <f>IFERROR(VLOOKUP(September[[#This Row],[Drug Name2]],'Data Options'!$R$1:$S$100,2,FALSE), " ")</f>
        <v xml:space="preserve"> </v>
      </c>
      <c r="V134" s="32"/>
      <c r="W134" s="32"/>
      <c r="X134" s="53"/>
      <c r="Y134" s="21" t="str">
        <f>IFERROR(VLOOKUP(September[[#This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21" t="str">
        <f>IFERROR(VLOOKUP(September[[#This Row],[Drug Name4]],'Data Options'!$R$1:$S$100,2,FALSE), " ")</f>
        <v xml:space="preserve"> </v>
      </c>
      <c r="AI134" s="32"/>
      <c r="AJ134" s="32"/>
      <c r="AK134" s="53"/>
      <c r="AL134" s="21" t="str">
        <f>IFERROR(VLOOKUP(September[[#This Row],[Drug Name5]],'Data Options'!$R$1:$S$100,2,FALSE), " ")</f>
        <v xml:space="preserve"> </v>
      </c>
      <c r="AM134" s="32"/>
      <c r="AN134" s="32"/>
      <c r="AO134" s="53"/>
      <c r="AP134" s="21" t="str">
        <f>IFERROR(VLOOKUP(September[[#This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21" t="str">
        <f>IFERROR(VLOOKUP(September[[#This Row],[Drug Name7]],'Data Options'!$R$1:$S$100,2,FALSE), " ")</f>
        <v xml:space="preserve"> </v>
      </c>
      <c r="AZ134" s="32"/>
      <c r="BA134" s="32"/>
      <c r="BB134" s="53"/>
      <c r="BC134" s="21" t="str">
        <f>IFERROR(VLOOKUP(September[[#This Row],[Drug Name8]],'Data Options'!$R$1:$S$100,2,FALSE), " ")</f>
        <v xml:space="preserve"> </v>
      </c>
      <c r="BD134" s="32"/>
      <c r="BE134" s="32"/>
      <c r="BF134" s="53"/>
      <c r="BG134" s="21" t="str">
        <f>IFERROR(VLOOKUP(September[[#This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21" t="str">
        <f>IFERROR(VLOOKUP(September[[#This Row],[Drug Name]],'Data Options'!$R$1:$S$100,2,FALSE), " ")</f>
        <v xml:space="preserve"> </v>
      </c>
      <c r="R135" s="32"/>
      <c r="S135" s="32"/>
      <c r="T135" s="53"/>
      <c r="U135" s="21" t="str">
        <f>IFERROR(VLOOKUP(September[[#This Row],[Drug Name2]],'Data Options'!$R$1:$S$100,2,FALSE), " ")</f>
        <v xml:space="preserve"> </v>
      </c>
      <c r="V135" s="32"/>
      <c r="W135" s="32"/>
      <c r="X135" s="53"/>
      <c r="Y135" s="21" t="str">
        <f>IFERROR(VLOOKUP(September[[#This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21" t="str">
        <f>IFERROR(VLOOKUP(September[[#This Row],[Drug Name4]],'Data Options'!$R$1:$S$100,2,FALSE), " ")</f>
        <v xml:space="preserve"> </v>
      </c>
      <c r="AI135" s="32"/>
      <c r="AJ135" s="32"/>
      <c r="AK135" s="53"/>
      <c r="AL135" s="21" t="str">
        <f>IFERROR(VLOOKUP(September[[#This Row],[Drug Name5]],'Data Options'!$R$1:$S$100,2,FALSE), " ")</f>
        <v xml:space="preserve"> </v>
      </c>
      <c r="AM135" s="32"/>
      <c r="AN135" s="32"/>
      <c r="AO135" s="53"/>
      <c r="AP135" s="21" t="str">
        <f>IFERROR(VLOOKUP(September[[#This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21" t="str">
        <f>IFERROR(VLOOKUP(September[[#This Row],[Drug Name7]],'Data Options'!$R$1:$S$100,2,FALSE), " ")</f>
        <v xml:space="preserve"> </v>
      </c>
      <c r="AZ135" s="32"/>
      <c r="BA135" s="32"/>
      <c r="BB135" s="53"/>
      <c r="BC135" s="21" t="str">
        <f>IFERROR(VLOOKUP(September[[#This Row],[Drug Name8]],'Data Options'!$R$1:$S$100,2,FALSE), " ")</f>
        <v xml:space="preserve"> </v>
      </c>
      <c r="BD135" s="32"/>
      <c r="BE135" s="32"/>
      <c r="BF135" s="53"/>
      <c r="BG135" s="21" t="str">
        <f>IFERROR(VLOOKUP(September[[#This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21" t="str">
        <f>IFERROR(VLOOKUP(September[[#This Row],[Drug Name]],'Data Options'!$R$1:$S$100,2,FALSE), " ")</f>
        <v xml:space="preserve"> </v>
      </c>
      <c r="R136" s="32"/>
      <c r="S136" s="32"/>
      <c r="T136" s="53"/>
      <c r="U136" s="21" t="str">
        <f>IFERROR(VLOOKUP(September[[#This Row],[Drug Name2]],'Data Options'!$R$1:$S$100,2,FALSE), " ")</f>
        <v xml:space="preserve"> </v>
      </c>
      <c r="V136" s="32"/>
      <c r="W136" s="32"/>
      <c r="X136" s="53"/>
      <c r="Y136" s="21" t="str">
        <f>IFERROR(VLOOKUP(September[[#This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21" t="str">
        <f>IFERROR(VLOOKUP(September[[#This Row],[Drug Name4]],'Data Options'!$R$1:$S$100,2,FALSE), " ")</f>
        <v xml:space="preserve"> </v>
      </c>
      <c r="AI136" s="32"/>
      <c r="AJ136" s="32"/>
      <c r="AK136" s="53"/>
      <c r="AL136" s="21" t="str">
        <f>IFERROR(VLOOKUP(September[[#This Row],[Drug Name5]],'Data Options'!$R$1:$S$100,2,FALSE), " ")</f>
        <v xml:space="preserve"> </v>
      </c>
      <c r="AM136" s="32"/>
      <c r="AN136" s="32"/>
      <c r="AO136" s="53"/>
      <c r="AP136" s="21" t="str">
        <f>IFERROR(VLOOKUP(September[[#This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21" t="str">
        <f>IFERROR(VLOOKUP(September[[#This Row],[Drug Name7]],'Data Options'!$R$1:$S$100,2,FALSE), " ")</f>
        <v xml:space="preserve"> </v>
      </c>
      <c r="AZ136" s="32"/>
      <c r="BA136" s="32"/>
      <c r="BB136" s="53"/>
      <c r="BC136" s="21" t="str">
        <f>IFERROR(VLOOKUP(September[[#This Row],[Drug Name8]],'Data Options'!$R$1:$S$100,2,FALSE), " ")</f>
        <v xml:space="preserve"> </v>
      </c>
      <c r="BD136" s="32"/>
      <c r="BE136" s="32"/>
      <c r="BF136" s="53"/>
      <c r="BG136" s="21" t="str">
        <f>IFERROR(VLOOKUP(September[[#This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21" t="str">
        <f>IFERROR(VLOOKUP(September[[#This Row],[Drug Name]],'Data Options'!$R$1:$S$100,2,FALSE), " ")</f>
        <v xml:space="preserve"> </v>
      </c>
      <c r="R137" s="32"/>
      <c r="S137" s="32"/>
      <c r="T137" s="53"/>
      <c r="U137" s="21" t="str">
        <f>IFERROR(VLOOKUP(September[[#This Row],[Drug Name2]],'Data Options'!$R$1:$S$100,2,FALSE), " ")</f>
        <v xml:space="preserve"> </v>
      </c>
      <c r="V137" s="32"/>
      <c r="W137" s="32"/>
      <c r="X137" s="53"/>
      <c r="Y137" s="21" t="str">
        <f>IFERROR(VLOOKUP(September[[#This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21" t="str">
        <f>IFERROR(VLOOKUP(September[[#This Row],[Drug Name4]],'Data Options'!$R$1:$S$100,2,FALSE), " ")</f>
        <v xml:space="preserve"> </v>
      </c>
      <c r="AI137" s="32"/>
      <c r="AJ137" s="32"/>
      <c r="AK137" s="53"/>
      <c r="AL137" s="21" t="str">
        <f>IFERROR(VLOOKUP(September[[#This Row],[Drug Name5]],'Data Options'!$R$1:$S$100,2,FALSE), " ")</f>
        <v xml:space="preserve"> </v>
      </c>
      <c r="AM137" s="32"/>
      <c r="AN137" s="32"/>
      <c r="AO137" s="53"/>
      <c r="AP137" s="21" t="str">
        <f>IFERROR(VLOOKUP(September[[#This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21" t="str">
        <f>IFERROR(VLOOKUP(September[[#This Row],[Drug Name7]],'Data Options'!$R$1:$S$100,2,FALSE), " ")</f>
        <v xml:space="preserve"> </v>
      </c>
      <c r="AZ137" s="32"/>
      <c r="BA137" s="32"/>
      <c r="BB137" s="53"/>
      <c r="BC137" s="21" t="str">
        <f>IFERROR(VLOOKUP(September[[#This Row],[Drug Name8]],'Data Options'!$R$1:$S$100,2,FALSE), " ")</f>
        <v xml:space="preserve"> </v>
      </c>
      <c r="BD137" s="32"/>
      <c r="BE137" s="32"/>
      <c r="BF137" s="53"/>
      <c r="BG137" s="21" t="str">
        <f>IFERROR(VLOOKUP(September[[#This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21" t="str">
        <f>IFERROR(VLOOKUP(September[[#This Row],[Drug Name]],'Data Options'!$R$1:$S$100,2,FALSE), " ")</f>
        <v xml:space="preserve"> </v>
      </c>
      <c r="R138" s="32"/>
      <c r="S138" s="32"/>
      <c r="T138" s="53"/>
      <c r="U138" s="21" t="str">
        <f>IFERROR(VLOOKUP(September[[#This Row],[Drug Name2]],'Data Options'!$R$1:$S$100,2,FALSE), " ")</f>
        <v xml:space="preserve"> </v>
      </c>
      <c r="V138" s="32"/>
      <c r="W138" s="32"/>
      <c r="X138" s="53"/>
      <c r="Y138" s="21" t="str">
        <f>IFERROR(VLOOKUP(September[[#This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21" t="str">
        <f>IFERROR(VLOOKUP(September[[#This Row],[Drug Name4]],'Data Options'!$R$1:$S$100,2,FALSE), " ")</f>
        <v xml:space="preserve"> </v>
      </c>
      <c r="AI138" s="32"/>
      <c r="AJ138" s="32"/>
      <c r="AK138" s="53"/>
      <c r="AL138" s="21" t="str">
        <f>IFERROR(VLOOKUP(September[[#This Row],[Drug Name5]],'Data Options'!$R$1:$S$100,2,FALSE), " ")</f>
        <v xml:space="preserve"> </v>
      </c>
      <c r="AM138" s="32"/>
      <c r="AN138" s="32"/>
      <c r="AO138" s="53"/>
      <c r="AP138" s="21" t="str">
        <f>IFERROR(VLOOKUP(September[[#This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21" t="str">
        <f>IFERROR(VLOOKUP(September[[#This Row],[Drug Name7]],'Data Options'!$R$1:$S$100,2,FALSE), " ")</f>
        <v xml:space="preserve"> </v>
      </c>
      <c r="AZ138" s="32"/>
      <c r="BA138" s="32"/>
      <c r="BB138" s="53"/>
      <c r="BC138" s="21" t="str">
        <f>IFERROR(VLOOKUP(September[[#This Row],[Drug Name8]],'Data Options'!$R$1:$S$100,2,FALSE), " ")</f>
        <v xml:space="preserve"> </v>
      </c>
      <c r="BD138" s="32"/>
      <c r="BE138" s="32"/>
      <c r="BF138" s="53"/>
      <c r="BG138" s="21" t="str">
        <f>IFERROR(VLOOKUP(September[[#This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21" t="str">
        <f>IFERROR(VLOOKUP(September[[#This Row],[Drug Name]],'Data Options'!$R$1:$S$100,2,FALSE), " ")</f>
        <v xml:space="preserve"> </v>
      </c>
      <c r="R139" s="32"/>
      <c r="S139" s="32"/>
      <c r="T139" s="53"/>
      <c r="U139" s="21" t="str">
        <f>IFERROR(VLOOKUP(September[[#This Row],[Drug Name2]],'Data Options'!$R$1:$S$100,2,FALSE), " ")</f>
        <v xml:space="preserve"> </v>
      </c>
      <c r="V139" s="32"/>
      <c r="W139" s="32"/>
      <c r="X139" s="53"/>
      <c r="Y139" s="21" t="str">
        <f>IFERROR(VLOOKUP(September[[#This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21" t="str">
        <f>IFERROR(VLOOKUP(September[[#This Row],[Drug Name4]],'Data Options'!$R$1:$S$100,2,FALSE), " ")</f>
        <v xml:space="preserve"> </v>
      </c>
      <c r="AI139" s="32"/>
      <c r="AJ139" s="32"/>
      <c r="AK139" s="53"/>
      <c r="AL139" s="21" t="str">
        <f>IFERROR(VLOOKUP(September[[#This Row],[Drug Name5]],'Data Options'!$R$1:$S$100,2,FALSE), " ")</f>
        <v xml:space="preserve"> </v>
      </c>
      <c r="AM139" s="32"/>
      <c r="AN139" s="32"/>
      <c r="AO139" s="53"/>
      <c r="AP139" s="21" t="str">
        <f>IFERROR(VLOOKUP(September[[#This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21" t="str">
        <f>IFERROR(VLOOKUP(September[[#This Row],[Drug Name7]],'Data Options'!$R$1:$S$100,2,FALSE), " ")</f>
        <v xml:space="preserve"> </v>
      </c>
      <c r="AZ139" s="32"/>
      <c r="BA139" s="32"/>
      <c r="BB139" s="53"/>
      <c r="BC139" s="21" t="str">
        <f>IFERROR(VLOOKUP(September[[#This Row],[Drug Name8]],'Data Options'!$R$1:$S$100,2,FALSE), " ")</f>
        <v xml:space="preserve"> </v>
      </c>
      <c r="BD139" s="32"/>
      <c r="BE139" s="32"/>
      <c r="BF139" s="53"/>
      <c r="BG139" s="21" t="str">
        <f>IFERROR(VLOOKUP(September[[#This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21" t="str">
        <f>IFERROR(VLOOKUP(September[[#This Row],[Drug Name]],'Data Options'!$R$1:$S$100,2,FALSE), " ")</f>
        <v xml:space="preserve"> </v>
      </c>
      <c r="R140" s="32"/>
      <c r="S140" s="32"/>
      <c r="T140" s="53"/>
      <c r="U140" s="21" t="str">
        <f>IFERROR(VLOOKUP(September[[#This Row],[Drug Name2]],'Data Options'!$R$1:$S$100,2,FALSE), " ")</f>
        <v xml:space="preserve"> </v>
      </c>
      <c r="V140" s="32"/>
      <c r="W140" s="32"/>
      <c r="X140" s="53"/>
      <c r="Y140" s="21" t="str">
        <f>IFERROR(VLOOKUP(September[[#This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21" t="str">
        <f>IFERROR(VLOOKUP(September[[#This Row],[Drug Name4]],'Data Options'!$R$1:$S$100,2,FALSE), " ")</f>
        <v xml:space="preserve"> </v>
      </c>
      <c r="AI140" s="32"/>
      <c r="AJ140" s="32"/>
      <c r="AK140" s="53"/>
      <c r="AL140" s="21" t="str">
        <f>IFERROR(VLOOKUP(September[[#This Row],[Drug Name5]],'Data Options'!$R$1:$S$100,2,FALSE), " ")</f>
        <v xml:space="preserve"> </v>
      </c>
      <c r="AM140" s="32"/>
      <c r="AN140" s="32"/>
      <c r="AO140" s="53"/>
      <c r="AP140" s="21" t="str">
        <f>IFERROR(VLOOKUP(September[[#This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21" t="str">
        <f>IFERROR(VLOOKUP(September[[#This Row],[Drug Name7]],'Data Options'!$R$1:$S$100,2,FALSE), " ")</f>
        <v xml:space="preserve"> </v>
      </c>
      <c r="AZ140" s="32"/>
      <c r="BA140" s="32"/>
      <c r="BB140" s="53"/>
      <c r="BC140" s="21" t="str">
        <f>IFERROR(VLOOKUP(September[[#This Row],[Drug Name8]],'Data Options'!$R$1:$S$100,2,FALSE), " ")</f>
        <v xml:space="preserve"> </v>
      </c>
      <c r="BD140" s="32"/>
      <c r="BE140" s="32"/>
      <c r="BF140" s="53"/>
      <c r="BG140" s="21" t="str">
        <f>IFERROR(VLOOKUP(September[[#This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21" t="str">
        <f>IFERROR(VLOOKUP(September[[#This Row],[Drug Name]],'Data Options'!$R$1:$S$100,2,FALSE), " ")</f>
        <v xml:space="preserve"> </v>
      </c>
      <c r="R141" s="32"/>
      <c r="S141" s="32"/>
      <c r="T141" s="53"/>
      <c r="U141" s="21" t="str">
        <f>IFERROR(VLOOKUP(September[[#This Row],[Drug Name2]],'Data Options'!$R$1:$S$100,2,FALSE), " ")</f>
        <v xml:space="preserve"> </v>
      </c>
      <c r="V141" s="32"/>
      <c r="W141" s="32"/>
      <c r="X141" s="53"/>
      <c r="Y141" s="21" t="str">
        <f>IFERROR(VLOOKUP(September[[#This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21" t="str">
        <f>IFERROR(VLOOKUP(September[[#This Row],[Drug Name4]],'Data Options'!$R$1:$S$100,2,FALSE), " ")</f>
        <v xml:space="preserve"> </v>
      </c>
      <c r="AI141" s="32"/>
      <c r="AJ141" s="32"/>
      <c r="AK141" s="53"/>
      <c r="AL141" s="21" t="str">
        <f>IFERROR(VLOOKUP(September[[#This Row],[Drug Name5]],'Data Options'!$R$1:$S$100,2,FALSE), " ")</f>
        <v xml:space="preserve"> </v>
      </c>
      <c r="AM141" s="32"/>
      <c r="AN141" s="32"/>
      <c r="AO141" s="53"/>
      <c r="AP141" s="21" t="str">
        <f>IFERROR(VLOOKUP(September[[#This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21" t="str">
        <f>IFERROR(VLOOKUP(September[[#This Row],[Drug Name7]],'Data Options'!$R$1:$S$100,2,FALSE), " ")</f>
        <v xml:space="preserve"> </v>
      </c>
      <c r="AZ141" s="32"/>
      <c r="BA141" s="32"/>
      <c r="BB141" s="53"/>
      <c r="BC141" s="21" t="str">
        <f>IFERROR(VLOOKUP(September[[#This Row],[Drug Name8]],'Data Options'!$R$1:$S$100,2,FALSE), " ")</f>
        <v xml:space="preserve"> </v>
      </c>
      <c r="BD141" s="32"/>
      <c r="BE141" s="32"/>
      <c r="BF141" s="53"/>
      <c r="BG141" s="21" t="str">
        <f>IFERROR(VLOOKUP(September[[#This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21" t="str">
        <f>IFERROR(VLOOKUP(September[[#This Row],[Drug Name]],'Data Options'!$R$1:$S$100,2,FALSE), " ")</f>
        <v xml:space="preserve"> </v>
      </c>
      <c r="R142" s="32"/>
      <c r="S142" s="32"/>
      <c r="T142" s="53"/>
      <c r="U142" s="21" t="str">
        <f>IFERROR(VLOOKUP(September[[#This Row],[Drug Name2]],'Data Options'!$R$1:$S$100,2,FALSE), " ")</f>
        <v xml:space="preserve"> </v>
      </c>
      <c r="V142" s="32"/>
      <c r="W142" s="32"/>
      <c r="X142" s="53"/>
      <c r="Y142" s="21" t="str">
        <f>IFERROR(VLOOKUP(September[[#This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21" t="str">
        <f>IFERROR(VLOOKUP(September[[#This Row],[Drug Name4]],'Data Options'!$R$1:$S$100,2,FALSE), " ")</f>
        <v xml:space="preserve"> </v>
      </c>
      <c r="AI142" s="32"/>
      <c r="AJ142" s="32"/>
      <c r="AK142" s="53"/>
      <c r="AL142" s="21" t="str">
        <f>IFERROR(VLOOKUP(September[[#This Row],[Drug Name5]],'Data Options'!$R$1:$S$100,2,FALSE), " ")</f>
        <v xml:space="preserve"> </v>
      </c>
      <c r="AM142" s="32"/>
      <c r="AN142" s="32"/>
      <c r="AO142" s="53"/>
      <c r="AP142" s="21" t="str">
        <f>IFERROR(VLOOKUP(September[[#This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21" t="str">
        <f>IFERROR(VLOOKUP(September[[#This Row],[Drug Name7]],'Data Options'!$R$1:$S$100,2,FALSE), " ")</f>
        <v xml:space="preserve"> </v>
      </c>
      <c r="AZ142" s="32"/>
      <c r="BA142" s="32"/>
      <c r="BB142" s="53"/>
      <c r="BC142" s="21" t="str">
        <f>IFERROR(VLOOKUP(September[[#This Row],[Drug Name8]],'Data Options'!$R$1:$S$100,2,FALSE), " ")</f>
        <v xml:space="preserve"> </v>
      </c>
      <c r="BD142" s="32"/>
      <c r="BE142" s="32"/>
      <c r="BF142" s="53"/>
      <c r="BG142" s="21" t="str">
        <f>IFERROR(VLOOKUP(September[[#This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21" t="str">
        <f>IFERROR(VLOOKUP(September[[#This Row],[Drug Name]],'Data Options'!$R$1:$S$100,2,FALSE), " ")</f>
        <v xml:space="preserve"> </v>
      </c>
      <c r="R143" s="32"/>
      <c r="S143" s="32"/>
      <c r="T143" s="53"/>
      <c r="U143" s="21" t="str">
        <f>IFERROR(VLOOKUP(September[[#This Row],[Drug Name2]],'Data Options'!$R$1:$S$100,2,FALSE), " ")</f>
        <v xml:space="preserve"> </v>
      </c>
      <c r="V143" s="32"/>
      <c r="W143" s="32"/>
      <c r="X143" s="53"/>
      <c r="Y143" s="21" t="str">
        <f>IFERROR(VLOOKUP(September[[#This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21" t="str">
        <f>IFERROR(VLOOKUP(September[[#This Row],[Drug Name4]],'Data Options'!$R$1:$S$100,2,FALSE), " ")</f>
        <v xml:space="preserve"> </v>
      </c>
      <c r="AI143" s="32"/>
      <c r="AJ143" s="32"/>
      <c r="AK143" s="53"/>
      <c r="AL143" s="21" t="str">
        <f>IFERROR(VLOOKUP(September[[#This Row],[Drug Name5]],'Data Options'!$R$1:$S$100,2,FALSE), " ")</f>
        <v xml:space="preserve"> </v>
      </c>
      <c r="AM143" s="32"/>
      <c r="AN143" s="32"/>
      <c r="AO143" s="53"/>
      <c r="AP143" s="21" t="str">
        <f>IFERROR(VLOOKUP(September[[#This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21" t="str">
        <f>IFERROR(VLOOKUP(September[[#This Row],[Drug Name7]],'Data Options'!$R$1:$S$100,2,FALSE), " ")</f>
        <v xml:space="preserve"> </v>
      </c>
      <c r="AZ143" s="32"/>
      <c r="BA143" s="32"/>
      <c r="BB143" s="53"/>
      <c r="BC143" s="21" t="str">
        <f>IFERROR(VLOOKUP(September[[#This Row],[Drug Name8]],'Data Options'!$R$1:$S$100,2,FALSE), " ")</f>
        <v xml:space="preserve"> </v>
      </c>
      <c r="BD143" s="32"/>
      <c r="BE143" s="32"/>
      <c r="BF143" s="53"/>
      <c r="BG143" s="21" t="str">
        <f>IFERROR(VLOOKUP(September[[#This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21" t="str">
        <f>IFERROR(VLOOKUP(September[[#This Row],[Drug Name]],'Data Options'!$R$1:$S$100,2,FALSE), " ")</f>
        <v xml:space="preserve"> </v>
      </c>
      <c r="R144" s="32"/>
      <c r="S144" s="32"/>
      <c r="T144" s="53"/>
      <c r="U144" s="21" t="str">
        <f>IFERROR(VLOOKUP(September[[#This Row],[Drug Name2]],'Data Options'!$R$1:$S$100,2,FALSE), " ")</f>
        <v xml:space="preserve"> </v>
      </c>
      <c r="V144" s="32"/>
      <c r="W144" s="32"/>
      <c r="X144" s="53"/>
      <c r="Y144" s="21" t="str">
        <f>IFERROR(VLOOKUP(September[[#This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21" t="str">
        <f>IFERROR(VLOOKUP(September[[#This Row],[Drug Name4]],'Data Options'!$R$1:$S$100,2,FALSE), " ")</f>
        <v xml:space="preserve"> </v>
      </c>
      <c r="AI144" s="32"/>
      <c r="AJ144" s="32"/>
      <c r="AK144" s="53"/>
      <c r="AL144" s="21" t="str">
        <f>IFERROR(VLOOKUP(September[[#This Row],[Drug Name5]],'Data Options'!$R$1:$S$100,2,FALSE), " ")</f>
        <v xml:space="preserve"> </v>
      </c>
      <c r="AM144" s="32"/>
      <c r="AN144" s="32"/>
      <c r="AO144" s="53"/>
      <c r="AP144" s="21" t="str">
        <f>IFERROR(VLOOKUP(September[[#This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21" t="str">
        <f>IFERROR(VLOOKUP(September[[#This Row],[Drug Name7]],'Data Options'!$R$1:$S$100,2,FALSE), " ")</f>
        <v xml:space="preserve"> </v>
      </c>
      <c r="AZ144" s="32"/>
      <c r="BA144" s="32"/>
      <c r="BB144" s="53"/>
      <c r="BC144" s="21" t="str">
        <f>IFERROR(VLOOKUP(September[[#This Row],[Drug Name8]],'Data Options'!$R$1:$S$100,2,FALSE), " ")</f>
        <v xml:space="preserve"> </v>
      </c>
      <c r="BD144" s="32"/>
      <c r="BE144" s="32"/>
      <c r="BF144" s="53"/>
      <c r="BG144" s="21" t="str">
        <f>IFERROR(VLOOKUP(September[[#This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21" t="str">
        <f>IFERROR(VLOOKUP(September[[#This Row],[Drug Name]],'Data Options'!$R$1:$S$100,2,FALSE), " ")</f>
        <v xml:space="preserve"> </v>
      </c>
      <c r="R145" s="32"/>
      <c r="S145" s="32"/>
      <c r="T145" s="53"/>
      <c r="U145" s="21" t="str">
        <f>IFERROR(VLOOKUP(September[[#This Row],[Drug Name2]],'Data Options'!$R$1:$S$100,2,FALSE), " ")</f>
        <v xml:space="preserve"> </v>
      </c>
      <c r="V145" s="32"/>
      <c r="W145" s="32"/>
      <c r="X145" s="53"/>
      <c r="Y145" s="21" t="str">
        <f>IFERROR(VLOOKUP(September[[#This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21" t="str">
        <f>IFERROR(VLOOKUP(September[[#This Row],[Drug Name4]],'Data Options'!$R$1:$S$100,2,FALSE), " ")</f>
        <v xml:space="preserve"> </v>
      </c>
      <c r="AI145" s="32"/>
      <c r="AJ145" s="32"/>
      <c r="AK145" s="53"/>
      <c r="AL145" s="21" t="str">
        <f>IFERROR(VLOOKUP(September[[#This Row],[Drug Name5]],'Data Options'!$R$1:$S$100,2,FALSE), " ")</f>
        <v xml:space="preserve"> </v>
      </c>
      <c r="AM145" s="32"/>
      <c r="AN145" s="32"/>
      <c r="AO145" s="53"/>
      <c r="AP145" s="21" t="str">
        <f>IFERROR(VLOOKUP(September[[#This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21" t="str">
        <f>IFERROR(VLOOKUP(September[[#This Row],[Drug Name7]],'Data Options'!$R$1:$S$100,2,FALSE), " ")</f>
        <v xml:space="preserve"> </v>
      </c>
      <c r="AZ145" s="32"/>
      <c r="BA145" s="32"/>
      <c r="BB145" s="53"/>
      <c r="BC145" s="21" t="str">
        <f>IFERROR(VLOOKUP(September[[#This Row],[Drug Name8]],'Data Options'!$R$1:$S$100,2,FALSE), " ")</f>
        <v xml:space="preserve"> </v>
      </c>
      <c r="BD145" s="32"/>
      <c r="BE145" s="32"/>
      <c r="BF145" s="53"/>
      <c r="BG145" s="21" t="str">
        <f>IFERROR(VLOOKUP(September[[#This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21" t="str">
        <f>IFERROR(VLOOKUP(September[[#This Row],[Drug Name]],'Data Options'!$R$1:$S$100,2,FALSE), " ")</f>
        <v xml:space="preserve"> </v>
      </c>
      <c r="R146" s="32"/>
      <c r="S146" s="32"/>
      <c r="T146" s="53"/>
      <c r="U146" s="21" t="str">
        <f>IFERROR(VLOOKUP(September[[#This Row],[Drug Name2]],'Data Options'!$R$1:$S$100,2,FALSE), " ")</f>
        <v xml:space="preserve"> </v>
      </c>
      <c r="V146" s="32"/>
      <c r="W146" s="32"/>
      <c r="X146" s="53"/>
      <c r="Y146" s="21" t="str">
        <f>IFERROR(VLOOKUP(September[[#This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21" t="str">
        <f>IFERROR(VLOOKUP(September[[#This Row],[Drug Name4]],'Data Options'!$R$1:$S$100,2,FALSE), " ")</f>
        <v xml:space="preserve"> </v>
      </c>
      <c r="AI146" s="32"/>
      <c r="AJ146" s="32"/>
      <c r="AK146" s="53"/>
      <c r="AL146" s="21" t="str">
        <f>IFERROR(VLOOKUP(September[[#This Row],[Drug Name5]],'Data Options'!$R$1:$S$100,2,FALSE), " ")</f>
        <v xml:space="preserve"> </v>
      </c>
      <c r="AM146" s="32"/>
      <c r="AN146" s="32"/>
      <c r="AO146" s="53"/>
      <c r="AP146" s="21" t="str">
        <f>IFERROR(VLOOKUP(September[[#This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21" t="str">
        <f>IFERROR(VLOOKUP(September[[#This Row],[Drug Name7]],'Data Options'!$R$1:$S$100,2,FALSE), " ")</f>
        <v xml:space="preserve"> </v>
      </c>
      <c r="AZ146" s="32"/>
      <c r="BA146" s="32"/>
      <c r="BB146" s="53"/>
      <c r="BC146" s="21" t="str">
        <f>IFERROR(VLOOKUP(September[[#This Row],[Drug Name8]],'Data Options'!$R$1:$S$100,2,FALSE), " ")</f>
        <v xml:space="preserve"> </v>
      </c>
      <c r="BD146" s="32"/>
      <c r="BE146" s="32"/>
      <c r="BF146" s="53"/>
      <c r="BG146" s="21" t="str">
        <f>IFERROR(VLOOKUP(September[[#This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21" t="str">
        <f>IFERROR(VLOOKUP(September[[#This Row],[Drug Name]],'Data Options'!$R$1:$S$100,2,FALSE), " ")</f>
        <v xml:space="preserve"> </v>
      </c>
      <c r="R147" s="32"/>
      <c r="S147" s="32"/>
      <c r="T147" s="53"/>
      <c r="U147" s="21" t="str">
        <f>IFERROR(VLOOKUP(September[[#This Row],[Drug Name2]],'Data Options'!$R$1:$S$100,2,FALSE), " ")</f>
        <v xml:space="preserve"> </v>
      </c>
      <c r="V147" s="32"/>
      <c r="W147" s="32"/>
      <c r="X147" s="53"/>
      <c r="Y147" s="21" t="str">
        <f>IFERROR(VLOOKUP(September[[#This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21" t="str">
        <f>IFERROR(VLOOKUP(September[[#This Row],[Drug Name4]],'Data Options'!$R$1:$S$100,2,FALSE), " ")</f>
        <v xml:space="preserve"> </v>
      </c>
      <c r="AI147" s="32"/>
      <c r="AJ147" s="32"/>
      <c r="AK147" s="53"/>
      <c r="AL147" s="21" t="str">
        <f>IFERROR(VLOOKUP(September[[#This Row],[Drug Name5]],'Data Options'!$R$1:$S$100,2,FALSE), " ")</f>
        <v xml:space="preserve"> </v>
      </c>
      <c r="AM147" s="32"/>
      <c r="AN147" s="32"/>
      <c r="AO147" s="53"/>
      <c r="AP147" s="21" t="str">
        <f>IFERROR(VLOOKUP(September[[#This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21" t="str">
        <f>IFERROR(VLOOKUP(September[[#This Row],[Drug Name7]],'Data Options'!$R$1:$S$100,2,FALSE), " ")</f>
        <v xml:space="preserve"> </v>
      </c>
      <c r="AZ147" s="32"/>
      <c r="BA147" s="32"/>
      <c r="BB147" s="53"/>
      <c r="BC147" s="21" t="str">
        <f>IFERROR(VLOOKUP(September[[#This Row],[Drug Name8]],'Data Options'!$R$1:$S$100,2,FALSE), " ")</f>
        <v xml:space="preserve"> </v>
      </c>
      <c r="BD147" s="32"/>
      <c r="BE147" s="32"/>
      <c r="BF147" s="53"/>
      <c r="BG147" s="21" t="str">
        <f>IFERROR(VLOOKUP(September[[#This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21" t="str">
        <f>IFERROR(VLOOKUP(September[[#This Row],[Drug Name]],'Data Options'!$R$1:$S$100,2,FALSE), " ")</f>
        <v xml:space="preserve"> </v>
      </c>
      <c r="R148" s="32"/>
      <c r="S148" s="32"/>
      <c r="T148" s="53"/>
      <c r="U148" s="21" t="str">
        <f>IFERROR(VLOOKUP(September[[#This Row],[Drug Name2]],'Data Options'!$R$1:$S$100,2,FALSE), " ")</f>
        <v xml:space="preserve"> </v>
      </c>
      <c r="V148" s="32"/>
      <c r="W148" s="32"/>
      <c r="X148" s="53"/>
      <c r="Y148" s="21" t="str">
        <f>IFERROR(VLOOKUP(September[[#This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21" t="str">
        <f>IFERROR(VLOOKUP(September[[#This Row],[Drug Name4]],'Data Options'!$R$1:$S$100,2,FALSE), " ")</f>
        <v xml:space="preserve"> </v>
      </c>
      <c r="AI148" s="32"/>
      <c r="AJ148" s="32"/>
      <c r="AK148" s="53"/>
      <c r="AL148" s="21" t="str">
        <f>IFERROR(VLOOKUP(September[[#This Row],[Drug Name5]],'Data Options'!$R$1:$S$100,2,FALSE), " ")</f>
        <v xml:space="preserve"> </v>
      </c>
      <c r="AM148" s="32"/>
      <c r="AN148" s="32"/>
      <c r="AO148" s="53"/>
      <c r="AP148" s="21" t="str">
        <f>IFERROR(VLOOKUP(September[[#This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21" t="str">
        <f>IFERROR(VLOOKUP(September[[#This Row],[Drug Name7]],'Data Options'!$R$1:$S$100,2,FALSE), " ")</f>
        <v xml:space="preserve"> </v>
      </c>
      <c r="AZ148" s="32"/>
      <c r="BA148" s="32"/>
      <c r="BB148" s="53"/>
      <c r="BC148" s="21" t="str">
        <f>IFERROR(VLOOKUP(September[[#This Row],[Drug Name8]],'Data Options'!$R$1:$S$100,2,FALSE), " ")</f>
        <v xml:space="preserve"> </v>
      </c>
      <c r="BD148" s="32"/>
      <c r="BE148" s="32"/>
      <c r="BF148" s="53"/>
      <c r="BG148" s="21" t="str">
        <f>IFERROR(VLOOKUP(September[[#This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21" t="str">
        <f>IFERROR(VLOOKUP(September[[#This Row],[Drug Name]],'Data Options'!$R$1:$S$100,2,FALSE), " ")</f>
        <v xml:space="preserve"> </v>
      </c>
      <c r="R149" s="32"/>
      <c r="S149" s="32"/>
      <c r="T149" s="53"/>
      <c r="U149" s="21" t="str">
        <f>IFERROR(VLOOKUP(September[[#This Row],[Drug Name2]],'Data Options'!$R$1:$S$100,2,FALSE), " ")</f>
        <v xml:space="preserve"> </v>
      </c>
      <c r="V149" s="32"/>
      <c r="W149" s="32"/>
      <c r="X149" s="53"/>
      <c r="Y149" s="21" t="str">
        <f>IFERROR(VLOOKUP(September[[#This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21" t="str">
        <f>IFERROR(VLOOKUP(September[[#This Row],[Drug Name4]],'Data Options'!$R$1:$S$100,2,FALSE), " ")</f>
        <v xml:space="preserve"> </v>
      </c>
      <c r="AI149" s="32"/>
      <c r="AJ149" s="32"/>
      <c r="AK149" s="53"/>
      <c r="AL149" s="21" t="str">
        <f>IFERROR(VLOOKUP(September[[#This Row],[Drug Name5]],'Data Options'!$R$1:$S$100,2,FALSE), " ")</f>
        <v xml:space="preserve"> </v>
      </c>
      <c r="AM149" s="32"/>
      <c r="AN149" s="32"/>
      <c r="AO149" s="53"/>
      <c r="AP149" s="21" t="str">
        <f>IFERROR(VLOOKUP(September[[#This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21" t="str">
        <f>IFERROR(VLOOKUP(September[[#This Row],[Drug Name7]],'Data Options'!$R$1:$S$100,2,FALSE), " ")</f>
        <v xml:space="preserve"> </v>
      </c>
      <c r="AZ149" s="32"/>
      <c r="BA149" s="32"/>
      <c r="BB149" s="53"/>
      <c r="BC149" s="21" t="str">
        <f>IFERROR(VLOOKUP(September[[#This Row],[Drug Name8]],'Data Options'!$R$1:$S$100,2,FALSE), " ")</f>
        <v xml:space="preserve"> </v>
      </c>
      <c r="BD149" s="32"/>
      <c r="BE149" s="32"/>
      <c r="BF149" s="53"/>
      <c r="BG149" s="21" t="str">
        <f>IFERROR(VLOOKUP(September[[#This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21" t="str">
        <f>IFERROR(VLOOKUP(September[[#This Row],[Drug Name]],'Data Options'!$R$1:$S$100,2,FALSE), " ")</f>
        <v xml:space="preserve"> </v>
      </c>
      <c r="R150" s="32"/>
      <c r="S150" s="32"/>
      <c r="T150" s="53"/>
      <c r="U150" s="21" t="str">
        <f>IFERROR(VLOOKUP(September[[#This Row],[Drug Name2]],'Data Options'!$R$1:$S$100,2,FALSE), " ")</f>
        <v xml:space="preserve"> </v>
      </c>
      <c r="V150" s="32"/>
      <c r="W150" s="32"/>
      <c r="X150" s="53"/>
      <c r="Y150" s="21" t="str">
        <f>IFERROR(VLOOKUP(September[[#This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21" t="str">
        <f>IFERROR(VLOOKUP(September[[#This Row],[Drug Name4]],'Data Options'!$R$1:$S$100,2,FALSE), " ")</f>
        <v xml:space="preserve"> </v>
      </c>
      <c r="AI150" s="32"/>
      <c r="AJ150" s="32"/>
      <c r="AK150" s="53"/>
      <c r="AL150" s="21" t="str">
        <f>IFERROR(VLOOKUP(September[[#This Row],[Drug Name5]],'Data Options'!$R$1:$S$100,2,FALSE), " ")</f>
        <v xml:space="preserve"> </v>
      </c>
      <c r="AM150" s="32"/>
      <c r="AN150" s="32"/>
      <c r="AO150" s="53"/>
      <c r="AP150" s="21" t="str">
        <f>IFERROR(VLOOKUP(September[[#This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21" t="str">
        <f>IFERROR(VLOOKUP(September[[#This Row],[Drug Name7]],'Data Options'!$R$1:$S$100,2,FALSE), " ")</f>
        <v xml:space="preserve"> </v>
      </c>
      <c r="AZ150" s="32"/>
      <c r="BA150" s="32"/>
      <c r="BB150" s="53"/>
      <c r="BC150" s="21" t="str">
        <f>IFERROR(VLOOKUP(September[[#This Row],[Drug Name8]],'Data Options'!$R$1:$S$100,2,FALSE), " ")</f>
        <v xml:space="preserve"> </v>
      </c>
      <c r="BD150" s="32"/>
      <c r="BE150" s="32"/>
      <c r="BF150" s="53"/>
      <c r="BG150" s="21" t="str">
        <f>IFERROR(VLOOKUP(September[[#This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21" t="str">
        <f>IFERROR(VLOOKUP(September[[#This Row],[Drug Name]],'Data Options'!$R$1:$S$100,2,FALSE), " ")</f>
        <v xml:space="preserve"> </v>
      </c>
      <c r="R151" s="32"/>
      <c r="S151" s="32"/>
      <c r="T151" s="53"/>
      <c r="U151" s="21" t="str">
        <f>IFERROR(VLOOKUP(September[[#This Row],[Drug Name2]],'Data Options'!$R$1:$S$100,2,FALSE), " ")</f>
        <v xml:space="preserve"> </v>
      </c>
      <c r="V151" s="32"/>
      <c r="W151" s="32"/>
      <c r="X151" s="53"/>
      <c r="Y151" s="21" t="str">
        <f>IFERROR(VLOOKUP(September[[#This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21" t="str">
        <f>IFERROR(VLOOKUP(September[[#This Row],[Drug Name4]],'Data Options'!$R$1:$S$100,2,FALSE), " ")</f>
        <v xml:space="preserve"> </v>
      </c>
      <c r="AI151" s="32"/>
      <c r="AJ151" s="32"/>
      <c r="AK151" s="53"/>
      <c r="AL151" s="21" t="str">
        <f>IFERROR(VLOOKUP(September[[#This Row],[Drug Name5]],'Data Options'!$R$1:$S$100,2,FALSE), " ")</f>
        <v xml:space="preserve"> </v>
      </c>
      <c r="AM151" s="32"/>
      <c r="AN151" s="32"/>
      <c r="AO151" s="53"/>
      <c r="AP151" s="21" t="str">
        <f>IFERROR(VLOOKUP(September[[#This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21" t="str">
        <f>IFERROR(VLOOKUP(September[[#This Row],[Drug Name7]],'Data Options'!$R$1:$S$100,2,FALSE), " ")</f>
        <v xml:space="preserve"> </v>
      </c>
      <c r="AZ151" s="32"/>
      <c r="BA151" s="32"/>
      <c r="BB151" s="53"/>
      <c r="BC151" s="21" t="str">
        <f>IFERROR(VLOOKUP(September[[#This Row],[Drug Name8]],'Data Options'!$R$1:$S$100,2,FALSE), " ")</f>
        <v xml:space="preserve"> </v>
      </c>
      <c r="BD151" s="32"/>
      <c r="BE151" s="32"/>
      <c r="BF151" s="53"/>
      <c r="BG151" s="21" t="str">
        <f>IFERROR(VLOOKUP(September[[#This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21" t="str">
        <f>IFERROR(VLOOKUP(September[[#This Row],[Drug Name]],'Data Options'!$R$1:$S$100,2,FALSE), " ")</f>
        <v xml:space="preserve"> </v>
      </c>
      <c r="R152" s="32"/>
      <c r="S152" s="32"/>
      <c r="T152" s="53"/>
      <c r="U152" s="21" t="str">
        <f>IFERROR(VLOOKUP(September[[#This Row],[Drug Name2]],'Data Options'!$R$1:$S$100,2,FALSE), " ")</f>
        <v xml:space="preserve"> </v>
      </c>
      <c r="V152" s="32"/>
      <c r="W152" s="32"/>
      <c r="X152" s="53"/>
      <c r="Y152" s="21" t="str">
        <f>IFERROR(VLOOKUP(September[[#This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21" t="str">
        <f>IFERROR(VLOOKUP(September[[#This Row],[Drug Name4]],'Data Options'!$R$1:$S$100,2,FALSE), " ")</f>
        <v xml:space="preserve"> </v>
      </c>
      <c r="AI152" s="32"/>
      <c r="AJ152" s="32"/>
      <c r="AK152" s="53"/>
      <c r="AL152" s="21" t="str">
        <f>IFERROR(VLOOKUP(September[[#This Row],[Drug Name5]],'Data Options'!$R$1:$S$100,2,FALSE), " ")</f>
        <v xml:space="preserve"> </v>
      </c>
      <c r="AM152" s="32"/>
      <c r="AN152" s="32"/>
      <c r="AO152" s="53"/>
      <c r="AP152" s="21" t="str">
        <f>IFERROR(VLOOKUP(September[[#This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21" t="str">
        <f>IFERROR(VLOOKUP(September[[#This Row],[Drug Name7]],'Data Options'!$R$1:$S$100,2,FALSE), " ")</f>
        <v xml:space="preserve"> </v>
      </c>
      <c r="AZ152" s="32"/>
      <c r="BA152" s="32"/>
      <c r="BB152" s="53"/>
      <c r="BC152" s="21" t="str">
        <f>IFERROR(VLOOKUP(September[[#This Row],[Drug Name8]],'Data Options'!$R$1:$S$100,2,FALSE), " ")</f>
        <v xml:space="preserve"> </v>
      </c>
      <c r="BD152" s="32"/>
      <c r="BE152" s="32"/>
      <c r="BF152" s="53"/>
      <c r="BG152" s="21" t="str">
        <f>IFERROR(VLOOKUP(September[[#This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21" t="str">
        <f>IFERROR(VLOOKUP(September[[#This Row],[Drug Name]],'Data Options'!$R$1:$S$100,2,FALSE), " ")</f>
        <v xml:space="preserve"> </v>
      </c>
      <c r="R153" s="32"/>
      <c r="S153" s="32"/>
      <c r="T153" s="53"/>
      <c r="U153" s="21" t="str">
        <f>IFERROR(VLOOKUP(September[[#This Row],[Drug Name2]],'Data Options'!$R$1:$S$100,2,FALSE), " ")</f>
        <v xml:space="preserve"> </v>
      </c>
      <c r="V153" s="32"/>
      <c r="W153" s="32"/>
      <c r="X153" s="53"/>
      <c r="Y153" s="21" t="str">
        <f>IFERROR(VLOOKUP(September[[#This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21" t="str">
        <f>IFERROR(VLOOKUP(September[[#This Row],[Drug Name4]],'Data Options'!$R$1:$S$100,2,FALSE), " ")</f>
        <v xml:space="preserve"> </v>
      </c>
      <c r="AI153" s="32"/>
      <c r="AJ153" s="32"/>
      <c r="AK153" s="53"/>
      <c r="AL153" s="21" t="str">
        <f>IFERROR(VLOOKUP(September[[#This Row],[Drug Name5]],'Data Options'!$R$1:$S$100,2,FALSE), " ")</f>
        <v xml:space="preserve"> </v>
      </c>
      <c r="AM153" s="32"/>
      <c r="AN153" s="32"/>
      <c r="AO153" s="53"/>
      <c r="AP153" s="21" t="str">
        <f>IFERROR(VLOOKUP(September[[#This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21" t="str">
        <f>IFERROR(VLOOKUP(September[[#This Row],[Drug Name7]],'Data Options'!$R$1:$S$100,2,FALSE), " ")</f>
        <v xml:space="preserve"> </v>
      </c>
      <c r="AZ153" s="32"/>
      <c r="BA153" s="32"/>
      <c r="BB153" s="53"/>
      <c r="BC153" s="21" t="str">
        <f>IFERROR(VLOOKUP(September[[#This Row],[Drug Name8]],'Data Options'!$R$1:$S$100,2,FALSE), " ")</f>
        <v xml:space="preserve"> </v>
      </c>
      <c r="BD153" s="32"/>
      <c r="BE153" s="32"/>
      <c r="BF153" s="53"/>
      <c r="BG153" s="21" t="str">
        <f>IFERROR(VLOOKUP(September[[#This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21" t="str">
        <f>IFERROR(VLOOKUP(September[[#This Row],[Drug Name]],'Data Options'!$R$1:$S$100,2,FALSE), " ")</f>
        <v xml:space="preserve"> </v>
      </c>
      <c r="R154" s="32"/>
      <c r="S154" s="32"/>
      <c r="T154" s="53"/>
      <c r="U154" s="21" t="str">
        <f>IFERROR(VLOOKUP(September[[#This Row],[Drug Name2]],'Data Options'!$R$1:$S$100,2,FALSE), " ")</f>
        <v xml:space="preserve"> </v>
      </c>
      <c r="V154" s="32"/>
      <c r="W154" s="32"/>
      <c r="X154" s="53"/>
      <c r="Y154" s="21" t="str">
        <f>IFERROR(VLOOKUP(September[[#This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21" t="str">
        <f>IFERROR(VLOOKUP(September[[#This Row],[Drug Name4]],'Data Options'!$R$1:$S$100,2,FALSE), " ")</f>
        <v xml:space="preserve"> </v>
      </c>
      <c r="AI154" s="32"/>
      <c r="AJ154" s="32"/>
      <c r="AK154" s="53"/>
      <c r="AL154" s="21" t="str">
        <f>IFERROR(VLOOKUP(September[[#This Row],[Drug Name5]],'Data Options'!$R$1:$S$100,2,FALSE), " ")</f>
        <v xml:space="preserve"> </v>
      </c>
      <c r="AM154" s="32"/>
      <c r="AN154" s="32"/>
      <c r="AO154" s="53"/>
      <c r="AP154" s="21" t="str">
        <f>IFERROR(VLOOKUP(September[[#This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21" t="str">
        <f>IFERROR(VLOOKUP(September[[#This Row],[Drug Name7]],'Data Options'!$R$1:$S$100,2,FALSE), " ")</f>
        <v xml:space="preserve"> </v>
      </c>
      <c r="AZ154" s="32"/>
      <c r="BA154" s="32"/>
      <c r="BB154" s="53"/>
      <c r="BC154" s="21" t="str">
        <f>IFERROR(VLOOKUP(September[[#This Row],[Drug Name8]],'Data Options'!$R$1:$S$100,2,FALSE), " ")</f>
        <v xml:space="preserve"> </v>
      </c>
      <c r="BD154" s="32"/>
      <c r="BE154" s="32"/>
      <c r="BF154" s="53"/>
      <c r="BG154" s="21" t="str">
        <f>IFERROR(VLOOKUP(September[[#This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21" t="str">
        <f>IFERROR(VLOOKUP(September[[#This Row],[Drug Name]],'Data Options'!$R$1:$S$100,2,FALSE), " ")</f>
        <v xml:space="preserve"> </v>
      </c>
      <c r="R155" s="32"/>
      <c r="S155" s="32"/>
      <c r="T155" s="53"/>
      <c r="U155" s="21" t="str">
        <f>IFERROR(VLOOKUP(September[[#This Row],[Drug Name2]],'Data Options'!$R$1:$S$100,2,FALSE), " ")</f>
        <v xml:space="preserve"> </v>
      </c>
      <c r="V155" s="32"/>
      <c r="W155" s="32"/>
      <c r="X155" s="53"/>
      <c r="Y155" s="21" t="str">
        <f>IFERROR(VLOOKUP(September[[#This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21" t="str">
        <f>IFERROR(VLOOKUP(September[[#This Row],[Drug Name4]],'Data Options'!$R$1:$S$100,2,FALSE), " ")</f>
        <v xml:space="preserve"> </v>
      </c>
      <c r="AI155" s="32"/>
      <c r="AJ155" s="32"/>
      <c r="AK155" s="53"/>
      <c r="AL155" s="21" t="str">
        <f>IFERROR(VLOOKUP(September[[#This Row],[Drug Name5]],'Data Options'!$R$1:$S$100,2,FALSE), " ")</f>
        <v xml:space="preserve"> </v>
      </c>
      <c r="AM155" s="32"/>
      <c r="AN155" s="32"/>
      <c r="AO155" s="53"/>
      <c r="AP155" s="21" t="str">
        <f>IFERROR(VLOOKUP(September[[#This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21" t="str">
        <f>IFERROR(VLOOKUP(September[[#This Row],[Drug Name7]],'Data Options'!$R$1:$S$100,2,FALSE), " ")</f>
        <v xml:space="preserve"> </v>
      </c>
      <c r="AZ155" s="32"/>
      <c r="BA155" s="32"/>
      <c r="BB155" s="53"/>
      <c r="BC155" s="21" t="str">
        <f>IFERROR(VLOOKUP(September[[#This Row],[Drug Name8]],'Data Options'!$R$1:$S$100,2,FALSE), " ")</f>
        <v xml:space="preserve"> </v>
      </c>
      <c r="BD155" s="32"/>
      <c r="BE155" s="32"/>
      <c r="BF155" s="53"/>
      <c r="BG155" s="21" t="str">
        <f>IFERROR(VLOOKUP(September[[#This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21" t="str">
        <f>IFERROR(VLOOKUP(September[[#This Row],[Drug Name]],'Data Options'!$R$1:$S$100,2,FALSE), " ")</f>
        <v xml:space="preserve"> </v>
      </c>
      <c r="R156" s="32"/>
      <c r="S156" s="32"/>
      <c r="T156" s="53"/>
      <c r="U156" s="21" t="str">
        <f>IFERROR(VLOOKUP(September[[#This Row],[Drug Name2]],'Data Options'!$R$1:$S$100,2,FALSE), " ")</f>
        <v xml:space="preserve"> </v>
      </c>
      <c r="V156" s="32"/>
      <c r="W156" s="32"/>
      <c r="X156" s="53"/>
      <c r="Y156" s="21" t="str">
        <f>IFERROR(VLOOKUP(September[[#This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21" t="str">
        <f>IFERROR(VLOOKUP(September[[#This Row],[Drug Name4]],'Data Options'!$R$1:$S$100,2,FALSE), " ")</f>
        <v xml:space="preserve"> </v>
      </c>
      <c r="AI156" s="32"/>
      <c r="AJ156" s="32"/>
      <c r="AK156" s="53"/>
      <c r="AL156" s="21" t="str">
        <f>IFERROR(VLOOKUP(September[[#This Row],[Drug Name5]],'Data Options'!$R$1:$S$100,2,FALSE), " ")</f>
        <v xml:space="preserve"> </v>
      </c>
      <c r="AM156" s="32"/>
      <c r="AN156" s="32"/>
      <c r="AO156" s="53"/>
      <c r="AP156" s="21" t="str">
        <f>IFERROR(VLOOKUP(September[[#This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21" t="str">
        <f>IFERROR(VLOOKUP(September[[#This Row],[Drug Name7]],'Data Options'!$R$1:$S$100,2,FALSE), " ")</f>
        <v xml:space="preserve"> </v>
      </c>
      <c r="AZ156" s="32"/>
      <c r="BA156" s="32"/>
      <c r="BB156" s="53"/>
      <c r="BC156" s="21" t="str">
        <f>IFERROR(VLOOKUP(September[[#This Row],[Drug Name8]],'Data Options'!$R$1:$S$100,2,FALSE), " ")</f>
        <v xml:space="preserve"> </v>
      </c>
      <c r="BD156" s="32"/>
      <c r="BE156" s="32"/>
      <c r="BF156" s="53"/>
      <c r="BG156" s="21" t="str">
        <f>IFERROR(VLOOKUP(September[[#This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21" t="str">
        <f>IFERROR(VLOOKUP(September[[#This Row],[Drug Name]],'Data Options'!$R$1:$S$100,2,FALSE), " ")</f>
        <v xml:space="preserve"> </v>
      </c>
      <c r="R157" s="32"/>
      <c r="S157" s="32"/>
      <c r="T157" s="53"/>
      <c r="U157" s="21" t="str">
        <f>IFERROR(VLOOKUP(September[[#This Row],[Drug Name2]],'Data Options'!$R$1:$S$100,2,FALSE), " ")</f>
        <v xml:space="preserve"> </v>
      </c>
      <c r="V157" s="32"/>
      <c r="W157" s="32"/>
      <c r="X157" s="53"/>
      <c r="Y157" s="21" t="str">
        <f>IFERROR(VLOOKUP(September[[#This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21" t="str">
        <f>IFERROR(VLOOKUP(September[[#This Row],[Drug Name4]],'Data Options'!$R$1:$S$100,2,FALSE), " ")</f>
        <v xml:space="preserve"> </v>
      </c>
      <c r="AI157" s="32"/>
      <c r="AJ157" s="32"/>
      <c r="AK157" s="53"/>
      <c r="AL157" s="21" t="str">
        <f>IFERROR(VLOOKUP(September[[#This Row],[Drug Name5]],'Data Options'!$R$1:$S$100,2,FALSE), " ")</f>
        <v xml:space="preserve"> </v>
      </c>
      <c r="AM157" s="32"/>
      <c r="AN157" s="32"/>
      <c r="AO157" s="53"/>
      <c r="AP157" s="21" t="str">
        <f>IFERROR(VLOOKUP(September[[#This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21" t="str">
        <f>IFERROR(VLOOKUP(September[[#This Row],[Drug Name7]],'Data Options'!$R$1:$S$100,2,FALSE), " ")</f>
        <v xml:space="preserve"> </v>
      </c>
      <c r="AZ157" s="32"/>
      <c r="BA157" s="32"/>
      <c r="BB157" s="53"/>
      <c r="BC157" s="21" t="str">
        <f>IFERROR(VLOOKUP(September[[#This Row],[Drug Name8]],'Data Options'!$R$1:$S$100,2,FALSE), " ")</f>
        <v xml:space="preserve"> </v>
      </c>
      <c r="BD157" s="32"/>
      <c r="BE157" s="32"/>
      <c r="BF157" s="53"/>
      <c r="BG157" s="21" t="str">
        <f>IFERROR(VLOOKUP(September[[#This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21" t="str">
        <f>IFERROR(VLOOKUP(September[[#This Row],[Drug Name]],'Data Options'!$R$1:$S$100,2,FALSE), " ")</f>
        <v xml:space="preserve"> </v>
      </c>
      <c r="R158" s="32"/>
      <c r="S158" s="32"/>
      <c r="T158" s="53"/>
      <c r="U158" s="21" t="str">
        <f>IFERROR(VLOOKUP(September[[#This Row],[Drug Name2]],'Data Options'!$R$1:$S$100,2,FALSE), " ")</f>
        <v xml:space="preserve"> </v>
      </c>
      <c r="V158" s="32"/>
      <c r="W158" s="32"/>
      <c r="X158" s="53"/>
      <c r="Y158" s="21" t="str">
        <f>IFERROR(VLOOKUP(September[[#This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21" t="str">
        <f>IFERROR(VLOOKUP(September[[#This Row],[Drug Name4]],'Data Options'!$R$1:$S$100,2,FALSE), " ")</f>
        <v xml:space="preserve"> </v>
      </c>
      <c r="AI158" s="32"/>
      <c r="AJ158" s="32"/>
      <c r="AK158" s="53"/>
      <c r="AL158" s="21" t="str">
        <f>IFERROR(VLOOKUP(September[[#This Row],[Drug Name5]],'Data Options'!$R$1:$S$100,2,FALSE), " ")</f>
        <v xml:space="preserve"> </v>
      </c>
      <c r="AM158" s="32"/>
      <c r="AN158" s="32"/>
      <c r="AO158" s="53"/>
      <c r="AP158" s="21" t="str">
        <f>IFERROR(VLOOKUP(September[[#This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21" t="str">
        <f>IFERROR(VLOOKUP(September[[#This Row],[Drug Name7]],'Data Options'!$R$1:$S$100,2,FALSE), " ")</f>
        <v xml:space="preserve"> </v>
      </c>
      <c r="AZ158" s="32"/>
      <c r="BA158" s="32"/>
      <c r="BB158" s="53"/>
      <c r="BC158" s="21" t="str">
        <f>IFERROR(VLOOKUP(September[[#This Row],[Drug Name8]],'Data Options'!$R$1:$S$100,2,FALSE), " ")</f>
        <v xml:space="preserve"> </v>
      </c>
      <c r="BD158" s="32"/>
      <c r="BE158" s="32"/>
      <c r="BF158" s="53"/>
      <c r="BG158" s="21" t="str">
        <f>IFERROR(VLOOKUP(September[[#This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21" t="str">
        <f>IFERROR(VLOOKUP(September[[#This Row],[Drug Name]],'Data Options'!$R$1:$S$100,2,FALSE), " ")</f>
        <v xml:space="preserve"> </v>
      </c>
      <c r="R159" s="32"/>
      <c r="S159" s="32"/>
      <c r="T159" s="53"/>
      <c r="U159" s="21" t="str">
        <f>IFERROR(VLOOKUP(September[[#This Row],[Drug Name2]],'Data Options'!$R$1:$S$100,2,FALSE), " ")</f>
        <v xml:space="preserve"> </v>
      </c>
      <c r="V159" s="32"/>
      <c r="W159" s="32"/>
      <c r="X159" s="53"/>
      <c r="Y159" s="21" t="str">
        <f>IFERROR(VLOOKUP(September[[#This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21" t="str">
        <f>IFERROR(VLOOKUP(September[[#This Row],[Drug Name4]],'Data Options'!$R$1:$S$100,2,FALSE), " ")</f>
        <v xml:space="preserve"> </v>
      </c>
      <c r="AI159" s="32"/>
      <c r="AJ159" s="32"/>
      <c r="AK159" s="53"/>
      <c r="AL159" s="21" t="str">
        <f>IFERROR(VLOOKUP(September[[#This Row],[Drug Name5]],'Data Options'!$R$1:$S$100,2,FALSE), " ")</f>
        <v xml:space="preserve"> </v>
      </c>
      <c r="AM159" s="32"/>
      <c r="AN159" s="32"/>
      <c r="AO159" s="53"/>
      <c r="AP159" s="21" t="str">
        <f>IFERROR(VLOOKUP(September[[#This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21" t="str">
        <f>IFERROR(VLOOKUP(September[[#This Row],[Drug Name7]],'Data Options'!$R$1:$S$100,2,FALSE), " ")</f>
        <v xml:space="preserve"> </v>
      </c>
      <c r="AZ159" s="32"/>
      <c r="BA159" s="32"/>
      <c r="BB159" s="53"/>
      <c r="BC159" s="21" t="str">
        <f>IFERROR(VLOOKUP(September[[#This Row],[Drug Name8]],'Data Options'!$R$1:$S$100,2,FALSE), " ")</f>
        <v xml:space="preserve"> </v>
      </c>
      <c r="BD159" s="32"/>
      <c r="BE159" s="32"/>
      <c r="BF159" s="53"/>
      <c r="BG159" s="21" t="str">
        <f>IFERROR(VLOOKUP(September[[#This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21" t="str">
        <f>IFERROR(VLOOKUP(September[[#This Row],[Drug Name]],'Data Options'!$R$1:$S$100,2,FALSE), " ")</f>
        <v xml:space="preserve"> </v>
      </c>
      <c r="R160" s="32"/>
      <c r="S160" s="32"/>
      <c r="T160" s="53"/>
      <c r="U160" s="21" t="str">
        <f>IFERROR(VLOOKUP(September[[#This Row],[Drug Name2]],'Data Options'!$R$1:$S$100,2,FALSE), " ")</f>
        <v xml:space="preserve"> </v>
      </c>
      <c r="V160" s="32"/>
      <c r="W160" s="32"/>
      <c r="X160" s="53"/>
      <c r="Y160" s="21" t="str">
        <f>IFERROR(VLOOKUP(September[[#This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21" t="str">
        <f>IFERROR(VLOOKUP(September[[#This Row],[Drug Name4]],'Data Options'!$R$1:$S$100,2,FALSE), " ")</f>
        <v xml:space="preserve"> </v>
      </c>
      <c r="AI160" s="32"/>
      <c r="AJ160" s="32"/>
      <c r="AK160" s="53"/>
      <c r="AL160" s="21" t="str">
        <f>IFERROR(VLOOKUP(September[[#This Row],[Drug Name5]],'Data Options'!$R$1:$S$100,2,FALSE), " ")</f>
        <v xml:space="preserve"> </v>
      </c>
      <c r="AM160" s="32"/>
      <c r="AN160" s="32"/>
      <c r="AO160" s="53"/>
      <c r="AP160" s="21" t="str">
        <f>IFERROR(VLOOKUP(September[[#This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21" t="str">
        <f>IFERROR(VLOOKUP(September[[#This Row],[Drug Name7]],'Data Options'!$R$1:$S$100,2,FALSE), " ")</f>
        <v xml:space="preserve"> </v>
      </c>
      <c r="AZ160" s="32"/>
      <c r="BA160" s="32"/>
      <c r="BB160" s="53"/>
      <c r="BC160" s="21" t="str">
        <f>IFERROR(VLOOKUP(September[[#This Row],[Drug Name8]],'Data Options'!$R$1:$S$100,2,FALSE), " ")</f>
        <v xml:space="preserve"> </v>
      </c>
      <c r="BD160" s="32"/>
      <c r="BE160" s="32"/>
      <c r="BF160" s="53"/>
      <c r="BG160" s="21" t="str">
        <f>IFERROR(VLOOKUP(September[[#This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21" t="str">
        <f>IFERROR(VLOOKUP(September[[#This Row],[Drug Name]],'Data Options'!$R$1:$S$100,2,FALSE), " ")</f>
        <v xml:space="preserve"> </v>
      </c>
      <c r="R161" s="32"/>
      <c r="S161" s="32"/>
      <c r="T161" s="53"/>
      <c r="U161" s="21" t="str">
        <f>IFERROR(VLOOKUP(September[[#This Row],[Drug Name2]],'Data Options'!$R$1:$S$100,2,FALSE), " ")</f>
        <v xml:space="preserve"> </v>
      </c>
      <c r="V161" s="32"/>
      <c r="W161" s="32"/>
      <c r="X161" s="53"/>
      <c r="Y161" s="21" t="str">
        <f>IFERROR(VLOOKUP(September[[#This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21" t="str">
        <f>IFERROR(VLOOKUP(September[[#This Row],[Drug Name4]],'Data Options'!$R$1:$S$100,2,FALSE), " ")</f>
        <v xml:space="preserve"> </v>
      </c>
      <c r="AI161" s="32"/>
      <c r="AJ161" s="32"/>
      <c r="AK161" s="53"/>
      <c r="AL161" s="21" t="str">
        <f>IFERROR(VLOOKUP(September[[#This Row],[Drug Name5]],'Data Options'!$R$1:$S$100,2,FALSE), " ")</f>
        <v xml:space="preserve"> </v>
      </c>
      <c r="AM161" s="32"/>
      <c r="AN161" s="32"/>
      <c r="AO161" s="53"/>
      <c r="AP161" s="21" t="str">
        <f>IFERROR(VLOOKUP(September[[#This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21" t="str">
        <f>IFERROR(VLOOKUP(September[[#This Row],[Drug Name7]],'Data Options'!$R$1:$S$100,2,FALSE), " ")</f>
        <v xml:space="preserve"> </v>
      </c>
      <c r="AZ161" s="32"/>
      <c r="BA161" s="32"/>
      <c r="BB161" s="53"/>
      <c r="BC161" s="21" t="str">
        <f>IFERROR(VLOOKUP(September[[#This Row],[Drug Name8]],'Data Options'!$R$1:$S$100,2,FALSE), " ")</f>
        <v xml:space="preserve"> </v>
      </c>
      <c r="BD161" s="32"/>
      <c r="BE161" s="32"/>
      <c r="BF161" s="53"/>
      <c r="BG161" s="21" t="str">
        <f>IFERROR(VLOOKUP(September[[#This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21" t="str">
        <f>IFERROR(VLOOKUP(September[[#This Row],[Drug Name]],'Data Options'!$R$1:$S$100,2,FALSE), " ")</f>
        <v xml:space="preserve"> </v>
      </c>
      <c r="R162" s="32"/>
      <c r="S162" s="32"/>
      <c r="T162" s="53"/>
      <c r="U162" s="21" t="str">
        <f>IFERROR(VLOOKUP(September[[#This Row],[Drug Name2]],'Data Options'!$R$1:$S$100,2,FALSE), " ")</f>
        <v xml:space="preserve"> </v>
      </c>
      <c r="V162" s="32"/>
      <c r="W162" s="32"/>
      <c r="X162" s="53"/>
      <c r="Y162" s="21" t="str">
        <f>IFERROR(VLOOKUP(September[[#This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21" t="str">
        <f>IFERROR(VLOOKUP(September[[#This Row],[Drug Name4]],'Data Options'!$R$1:$S$100,2,FALSE), " ")</f>
        <v xml:space="preserve"> </v>
      </c>
      <c r="AI162" s="32"/>
      <c r="AJ162" s="32"/>
      <c r="AK162" s="53"/>
      <c r="AL162" s="21" t="str">
        <f>IFERROR(VLOOKUP(September[[#This Row],[Drug Name5]],'Data Options'!$R$1:$S$100,2,FALSE), " ")</f>
        <v xml:space="preserve"> </v>
      </c>
      <c r="AM162" s="32"/>
      <c r="AN162" s="32"/>
      <c r="AO162" s="53"/>
      <c r="AP162" s="21" t="str">
        <f>IFERROR(VLOOKUP(September[[#This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21" t="str">
        <f>IFERROR(VLOOKUP(September[[#This Row],[Drug Name7]],'Data Options'!$R$1:$S$100,2,FALSE), " ")</f>
        <v xml:space="preserve"> </v>
      </c>
      <c r="AZ162" s="32"/>
      <c r="BA162" s="32"/>
      <c r="BB162" s="53"/>
      <c r="BC162" s="21" t="str">
        <f>IFERROR(VLOOKUP(September[[#This Row],[Drug Name8]],'Data Options'!$R$1:$S$100,2,FALSE), " ")</f>
        <v xml:space="preserve"> </v>
      </c>
      <c r="BD162" s="32"/>
      <c r="BE162" s="32"/>
      <c r="BF162" s="53"/>
      <c r="BG162" s="21" t="str">
        <f>IFERROR(VLOOKUP(September[[#This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21" t="str">
        <f>IFERROR(VLOOKUP(September[[#This Row],[Drug Name]],'Data Options'!$R$1:$S$100,2,FALSE), " ")</f>
        <v xml:space="preserve"> </v>
      </c>
      <c r="R163" s="32"/>
      <c r="S163" s="32"/>
      <c r="T163" s="53"/>
      <c r="U163" s="21" t="str">
        <f>IFERROR(VLOOKUP(September[[#This Row],[Drug Name2]],'Data Options'!$R$1:$S$100,2,FALSE), " ")</f>
        <v xml:space="preserve"> </v>
      </c>
      <c r="V163" s="32"/>
      <c r="W163" s="32"/>
      <c r="X163" s="53"/>
      <c r="Y163" s="21" t="str">
        <f>IFERROR(VLOOKUP(September[[#This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21" t="str">
        <f>IFERROR(VLOOKUP(September[[#This Row],[Drug Name4]],'Data Options'!$R$1:$S$100,2,FALSE), " ")</f>
        <v xml:space="preserve"> </v>
      </c>
      <c r="AI163" s="32"/>
      <c r="AJ163" s="32"/>
      <c r="AK163" s="53"/>
      <c r="AL163" s="21" t="str">
        <f>IFERROR(VLOOKUP(September[[#This Row],[Drug Name5]],'Data Options'!$R$1:$S$100,2,FALSE), " ")</f>
        <v xml:space="preserve"> </v>
      </c>
      <c r="AM163" s="32"/>
      <c r="AN163" s="32"/>
      <c r="AO163" s="53"/>
      <c r="AP163" s="21" t="str">
        <f>IFERROR(VLOOKUP(September[[#This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21" t="str">
        <f>IFERROR(VLOOKUP(September[[#This Row],[Drug Name7]],'Data Options'!$R$1:$S$100,2,FALSE), " ")</f>
        <v xml:space="preserve"> </v>
      </c>
      <c r="AZ163" s="32"/>
      <c r="BA163" s="32"/>
      <c r="BB163" s="53"/>
      <c r="BC163" s="21" t="str">
        <f>IFERROR(VLOOKUP(September[[#This Row],[Drug Name8]],'Data Options'!$R$1:$S$100,2,FALSE), " ")</f>
        <v xml:space="preserve"> </v>
      </c>
      <c r="BD163" s="32"/>
      <c r="BE163" s="32"/>
      <c r="BF163" s="53"/>
      <c r="BG163" s="21" t="str">
        <f>IFERROR(VLOOKUP(September[[#This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21" t="str">
        <f>IFERROR(VLOOKUP(September[[#This Row],[Drug Name]],'Data Options'!$R$1:$S$100,2,FALSE), " ")</f>
        <v xml:space="preserve"> </v>
      </c>
      <c r="R164" s="32"/>
      <c r="S164" s="32"/>
      <c r="T164" s="53"/>
      <c r="U164" s="21" t="str">
        <f>IFERROR(VLOOKUP(September[[#This Row],[Drug Name2]],'Data Options'!$R$1:$S$100,2,FALSE), " ")</f>
        <v xml:space="preserve"> </v>
      </c>
      <c r="V164" s="32"/>
      <c r="W164" s="32"/>
      <c r="X164" s="53"/>
      <c r="Y164" s="21" t="str">
        <f>IFERROR(VLOOKUP(September[[#This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21" t="str">
        <f>IFERROR(VLOOKUP(September[[#This Row],[Drug Name4]],'Data Options'!$R$1:$S$100,2,FALSE), " ")</f>
        <v xml:space="preserve"> </v>
      </c>
      <c r="AI164" s="32"/>
      <c r="AJ164" s="32"/>
      <c r="AK164" s="53"/>
      <c r="AL164" s="21" t="str">
        <f>IFERROR(VLOOKUP(September[[#This Row],[Drug Name5]],'Data Options'!$R$1:$S$100,2,FALSE), " ")</f>
        <v xml:space="preserve"> </v>
      </c>
      <c r="AM164" s="32"/>
      <c r="AN164" s="32"/>
      <c r="AO164" s="53"/>
      <c r="AP164" s="21" t="str">
        <f>IFERROR(VLOOKUP(September[[#This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21" t="str">
        <f>IFERROR(VLOOKUP(September[[#This Row],[Drug Name7]],'Data Options'!$R$1:$S$100,2,FALSE), " ")</f>
        <v xml:space="preserve"> </v>
      </c>
      <c r="AZ164" s="32"/>
      <c r="BA164" s="32"/>
      <c r="BB164" s="53"/>
      <c r="BC164" s="21" t="str">
        <f>IFERROR(VLOOKUP(September[[#This Row],[Drug Name8]],'Data Options'!$R$1:$S$100,2,FALSE), " ")</f>
        <v xml:space="preserve"> </v>
      </c>
      <c r="BD164" s="32"/>
      <c r="BE164" s="32"/>
      <c r="BF164" s="53"/>
      <c r="BG164" s="21" t="str">
        <f>IFERROR(VLOOKUP(September[[#This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21" t="str">
        <f>IFERROR(VLOOKUP(September[[#This Row],[Drug Name]],'Data Options'!$R$1:$S$100,2,FALSE), " ")</f>
        <v xml:space="preserve"> </v>
      </c>
      <c r="R165" s="32"/>
      <c r="S165" s="32"/>
      <c r="T165" s="53"/>
      <c r="U165" s="21" t="str">
        <f>IFERROR(VLOOKUP(September[[#This Row],[Drug Name2]],'Data Options'!$R$1:$S$100,2,FALSE), " ")</f>
        <v xml:space="preserve"> </v>
      </c>
      <c r="V165" s="32"/>
      <c r="W165" s="32"/>
      <c r="X165" s="53"/>
      <c r="Y165" s="21" t="str">
        <f>IFERROR(VLOOKUP(September[[#This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21" t="str">
        <f>IFERROR(VLOOKUP(September[[#This Row],[Drug Name4]],'Data Options'!$R$1:$S$100,2,FALSE), " ")</f>
        <v xml:space="preserve"> </v>
      </c>
      <c r="AI165" s="32"/>
      <c r="AJ165" s="32"/>
      <c r="AK165" s="53"/>
      <c r="AL165" s="21" t="str">
        <f>IFERROR(VLOOKUP(September[[#This Row],[Drug Name5]],'Data Options'!$R$1:$S$100,2,FALSE), " ")</f>
        <v xml:space="preserve"> </v>
      </c>
      <c r="AM165" s="32"/>
      <c r="AN165" s="32"/>
      <c r="AO165" s="53"/>
      <c r="AP165" s="21" t="str">
        <f>IFERROR(VLOOKUP(September[[#This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21" t="str">
        <f>IFERROR(VLOOKUP(September[[#This Row],[Drug Name7]],'Data Options'!$R$1:$S$100,2,FALSE), " ")</f>
        <v xml:space="preserve"> </v>
      </c>
      <c r="AZ165" s="32"/>
      <c r="BA165" s="32"/>
      <c r="BB165" s="53"/>
      <c r="BC165" s="21" t="str">
        <f>IFERROR(VLOOKUP(September[[#This Row],[Drug Name8]],'Data Options'!$R$1:$S$100,2,FALSE), " ")</f>
        <v xml:space="preserve"> </v>
      </c>
      <c r="BD165" s="32"/>
      <c r="BE165" s="32"/>
      <c r="BF165" s="53"/>
      <c r="BG165" s="21" t="str">
        <f>IFERROR(VLOOKUP(September[[#This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21" t="str">
        <f>IFERROR(VLOOKUP(September[[#This Row],[Drug Name]],'Data Options'!$R$1:$S$100,2,FALSE), " ")</f>
        <v xml:space="preserve"> </v>
      </c>
      <c r="R166" s="32"/>
      <c r="S166" s="32"/>
      <c r="T166" s="53"/>
      <c r="U166" s="21" t="str">
        <f>IFERROR(VLOOKUP(September[[#This Row],[Drug Name2]],'Data Options'!$R$1:$S$100,2,FALSE), " ")</f>
        <v xml:space="preserve"> </v>
      </c>
      <c r="V166" s="32"/>
      <c r="W166" s="32"/>
      <c r="X166" s="53"/>
      <c r="Y166" s="21" t="str">
        <f>IFERROR(VLOOKUP(September[[#This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21" t="str">
        <f>IFERROR(VLOOKUP(September[[#This Row],[Drug Name4]],'Data Options'!$R$1:$S$100,2,FALSE), " ")</f>
        <v xml:space="preserve"> </v>
      </c>
      <c r="AI166" s="32"/>
      <c r="AJ166" s="32"/>
      <c r="AK166" s="53"/>
      <c r="AL166" s="21" t="str">
        <f>IFERROR(VLOOKUP(September[[#This Row],[Drug Name5]],'Data Options'!$R$1:$S$100,2,FALSE), " ")</f>
        <v xml:space="preserve"> </v>
      </c>
      <c r="AM166" s="32"/>
      <c r="AN166" s="32"/>
      <c r="AO166" s="53"/>
      <c r="AP166" s="21" t="str">
        <f>IFERROR(VLOOKUP(September[[#This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21" t="str">
        <f>IFERROR(VLOOKUP(September[[#This Row],[Drug Name7]],'Data Options'!$R$1:$S$100,2,FALSE), " ")</f>
        <v xml:space="preserve"> </v>
      </c>
      <c r="AZ166" s="32"/>
      <c r="BA166" s="32"/>
      <c r="BB166" s="53"/>
      <c r="BC166" s="21" t="str">
        <f>IFERROR(VLOOKUP(September[[#This Row],[Drug Name8]],'Data Options'!$R$1:$S$100,2,FALSE), " ")</f>
        <v xml:space="preserve"> </v>
      </c>
      <c r="BD166" s="32"/>
      <c r="BE166" s="32"/>
      <c r="BF166" s="53"/>
      <c r="BG166" s="21" t="str">
        <f>IFERROR(VLOOKUP(September[[#This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21" t="str">
        <f>IFERROR(VLOOKUP(September[[#This Row],[Drug Name]],'Data Options'!$R$1:$S$100,2,FALSE), " ")</f>
        <v xml:space="preserve"> </v>
      </c>
      <c r="R167" s="32"/>
      <c r="S167" s="32"/>
      <c r="T167" s="53"/>
      <c r="U167" s="21" t="str">
        <f>IFERROR(VLOOKUP(September[[#This Row],[Drug Name2]],'Data Options'!$R$1:$S$100,2,FALSE), " ")</f>
        <v xml:space="preserve"> </v>
      </c>
      <c r="V167" s="32"/>
      <c r="W167" s="32"/>
      <c r="X167" s="53"/>
      <c r="Y167" s="21" t="str">
        <f>IFERROR(VLOOKUP(September[[#This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21" t="str">
        <f>IFERROR(VLOOKUP(September[[#This Row],[Drug Name4]],'Data Options'!$R$1:$S$100,2,FALSE), " ")</f>
        <v xml:space="preserve"> </v>
      </c>
      <c r="AI167" s="32"/>
      <c r="AJ167" s="32"/>
      <c r="AK167" s="53"/>
      <c r="AL167" s="21" t="str">
        <f>IFERROR(VLOOKUP(September[[#This Row],[Drug Name5]],'Data Options'!$R$1:$S$100,2,FALSE), " ")</f>
        <v xml:space="preserve"> </v>
      </c>
      <c r="AM167" s="32"/>
      <c r="AN167" s="32"/>
      <c r="AO167" s="53"/>
      <c r="AP167" s="21" t="str">
        <f>IFERROR(VLOOKUP(September[[#This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21" t="str">
        <f>IFERROR(VLOOKUP(September[[#This Row],[Drug Name7]],'Data Options'!$R$1:$S$100,2,FALSE), " ")</f>
        <v xml:space="preserve"> </v>
      </c>
      <c r="AZ167" s="32"/>
      <c r="BA167" s="32"/>
      <c r="BB167" s="53"/>
      <c r="BC167" s="21" t="str">
        <f>IFERROR(VLOOKUP(September[[#This Row],[Drug Name8]],'Data Options'!$R$1:$S$100,2,FALSE), " ")</f>
        <v xml:space="preserve"> </v>
      </c>
      <c r="BD167" s="32"/>
      <c r="BE167" s="32"/>
      <c r="BF167" s="53"/>
      <c r="BG167" s="21" t="str">
        <f>IFERROR(VLOOKUP(September[[#This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21" t="str">
        <f>IFERROR(VLOOKUP(September[[#This Row],[Drug Name]],'Data Options'!$R$1:$S$100,2,FALSE), " ")</f>
        <v xml:space="preserve"> </v>
      </c>
      <c r="R168" s="32"/>
      <c r="S168" s="32"/>
      <c r="T168" s="53"/>
      <c r="U168" s="21" t="str">
        <f>IFERROR(VLOOKUP(September[[#This Row],[Drug Name2]],'Data Options'!$R$1:$S$100,2,FALSE), " ")</f>
        <v xml:space="preserve"> </v>
      </c>
      <c r="V168" s="32"/>
      <c r="W168" s="32"/>
      <c r="X168" s="53"/>
      <c r="Y168" s="21" t="str">
        <f>IFERROR(VLOOKUP(September[[#This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21" t="str">
        <f>IFERROR(VLOOKUP(September[[#This Row],[Drug Name4]],'Data Options'!$R$1:$S$100,2,FALSE), " ")</f>
        <v xml:space="preserve"> </v>
      </c>
      <c r="AI168" s="32"/>
      <c r="AJ168" s="32"/>
      <c r="AK168" s="53"/>
      <c r="AL168" s="21" t="str">
        <f>IFERROR(VLOOKUP(September[[#This Row],[Drug Name5]],'Data Options'!$R$1:$S$100,2,FALSE), " ")</f>
        <v xml:space="preserve"> </v>
      </c>
      <c r="AM168" s="32"/>
      <c r="AN168" s="32"/>
      <c r="AO168" s="53"/>
      <c r="AP168" s="21" t="str">
        <f>IFERROR(VLOOKUP(September[[#This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21" t="str">
        <f>IFERROR(VLOOKUP(September[[#This Row],[Drug Name7]],'Data Options'!$R$1:$S$100,2,FALSE), " ")</f>
        <v xml:space="preserve"> </v>
      </c>
      <c r="AZ168" s="32"/>
      <c r="BA168" s="32"/>
      <c r="BB168" s="53"/>
      <c r="BC168" s="21" t="str">
        <f>IFERROR(VLOOKUP(September[[#This Row],[Drug Name8]],'Data Options'!$R$1:$S$100,2,FALSE), " ")</f>
        <v xml:space="preserve"> </v>
      </c>
      <c r="BD168" s="32"/>
      <c r="BE168" s="32"/>
      <c r="BF168" s="53"/>
      <c r="BG168" s="21" t="str">
        <f>IFERROR(VLOOKUP(September[[#This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21" t="str">
        <f>IFERROR(VLOOKUP(September[[#This Row],[Drug Name]],'Data Options'!$R$1:$S$100,2,FALSE), " ")</f>
        <v xml:space="preserve"> </v>
      </c>
      <c r="R169" s="32"/>
      <c r="S169" s="32"/>
      <c r="T169" s="53"/>
      <c r="U169" s="21" t="str">
        <f>IFERROR(VLOOKUP(September[[#This Row],[Drug Name2]],'Data Options'!$R$1:$S$100,2,FALSE), " ")</f>
        <v xml:space="preserve"> </v>
      </c>
      <c r="V169" s="32"/>
      <c r="W169" s="32"/>
      <c r="X169" s="53"/>
      <c r="Y169" s="21" t="str">
        <f>IFERROR(VLOOKUP(September[[#This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21" t="str">
        <f>IFERROR(VLOOKUP(September[[#This Row],[Drug Name4]],'Data Options'!$R$1:$S$100,2,FALSE), " ")</f>
        <v xml:space="preserve"> </v>
      </c>
      <c r="AI169" s="32"/>
      <c r="AJ169" s="32"/>
      <c r="AK169" s="53"/>
      <c r="AL169" s="21" t="str">
        <f>IFERROR(VLOOKUP(September[[#This Row],[Drug Name5]],'Data Options'!$R$1:$S$100,2,FALSE), " ")</f>
        <v xml:space="preserve"> </v>
      </c>
      <c r="AM169" s="32"/>
      <c r="AN169" s="32"/>
      <c r="AO169" s="53"/>
      <c r="AP169" s="21" t="str">
        <f>IFERROR(VLOOKUP(September[[#This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21" t="str">
        <f>IFERROR(VLOOKUP(September[[#This Row],[Drug Name7]],'Data Options'!$R$1:$S$100,2,FALSE), " ")</f>
        <v xml:space="preserve"> </v>
      </c>
      <c r="AZ169" s="32"/>
      <c r="BA169" s="32"/>
      <c r="BB169" s="53"/>
      <c r="BC169" s="21" t="str">
        <f>IFERROR(VLOOKUP(September[[#This Row],[Drug Name8]],'Data Options'!$R$1:$S$100,2,FALSE), " ")</f>
        <v xml:space="preserve"> </v>
      </c>
      <c r="BD169" s="32"/>
      <c r="BE169" s="32"/>
      <c r="BF169" s="53"/>
      <c r="BG169" s="21" t="str">
        <f>IFERROR(VLOOKUP(September[[#This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21" t="str">
        <f>IFERROR(VLOOKUP(September[[#This Row],[Drug Name]],'Data Options'!$R$1:$S$100,2,FALSE), " ")</f>
        <v xml:space="preserve"> </v>
      </c>
      <c r="R170" s="32"/>
      <c r="S170" s="32"/>
      <c r="T170" s="53"/>
      <c r="U170" s="21" t="str">
        <f>IFERROR(VLOOKUP(September[[#This Row],[Drug Name2]],'Data Options'!$R$1:$S$100,2,FALSE), " ")</f>
        <v xml:space="preserve"> </v>
      </c>
      <c r="V170" s="32"/>
      <c r="W170" s="32"/>
      <c r="X170" s="53"/>
      <c r="Y170" s="21" t="str">
        <f>IFERROR(VLOOKUP(September[[#This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21" t="str">
        <f>IFERROR(VLOOKUP(September[[#This Row],[Drug Name4]],'Data Options'!$R$1:$S$100,2,FALSE), " ")</f>
        <v xml:space="preserve"> </v>
      </c>
      <c r="AI170" s="32"/>
      <c r="AJ170" s="32"/>
      <c r="AK170" s="53"/>
      <c r="AL170" s="21" t="str">
        <f>IFERROR(VLOOKUP(September[[#This Row],[Drug Name5]],'Data Options'!$R$1:$S$100,2,FALSE), " ")</f>
        <v xml:space="preserve"> </v>
      </c>
      <c r="AM170" s="32"/>
      <c r="AN170" s="32"/>
      <c r="AO170" s="53"/>
      <c r="AP170" s="21" t="str">
        <f>IFERROR(VLOOKUP(September[[#This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21" t="str">
        <f>IFERROR(VLOOKUP(September[[#This Row],[Drug Name7]],'Data Options'!$R$1:$S$100,2,FALSE), " ")</f>
        <v xml:space="preserve"> </v>
      </c>
      <c r="AZ170" s="32"/>
      <c r="BA170" s="32"/>
      <c r="BB170" s="53"/>
      <c r="BC170" s="21" t="str">
        <f>IFERROR(VLOOKUP(September[[#This Row],[Drug Name8]],'Data Options'!$R$1:$S$100,2,FALSE), " ")</f>
        <v xml:space="preserve"> </v>
      </c>
      <c r="BD170" s="32"/>
      <c r="BE170" s="32"/>
      <c r="BF170" s="53"/>
      <c r="BG170" s="21" t="str">
        <f>IFERROR(VLOOKUP(September[[#This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21" t="str">
        <f>IFERROR(VLOOKUP(September[[#This Row],[Drug Name]],'Data Options'!$R$1:$S$100,2,FALSE), " ")</f>
        <v xml:space="preserve"> </v>
      </c>
      <c r="R171" s="32"/>
      <c r="S171" s="32"/>
      <c r="T171" s="53"/>
      <c r="U171" s="21" t="str">
        <f>IFERROR(VLOOKUP(September[[#This Row],[Drug Name2]],'Data Options'!$R$1:$S$100,2,FALSE), " ")</f>
        <v xml:space="preserve"> </v>
      </c>
      <c r="V171" s="32"/>
      <c r="W171" s="32"/>
      <c r="X171" s="53"/>
      <c r="Y171" s="21" t="str">
        <f>IFERROR(VLOOKUP(September[[#This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21" t="str">
        <f>IFERROR(VLOOKUP(September[[#This Row],[Drug Name4]],'Data Options'!$R$1:$S$100,2,FALSE), " ")</f>
        <v xml:space="preserve"> </v>
      </c>
      <c r="AI171" s="32"/>
      <c r="AJ171" s="32"/>
      <c r="AK171" s="53"/>
      <c r="AL171" s="21" t="str">
        <f>IFERROR(VLOOKUP(September[[#This Row],[Drug Name5]],'Data Options'!$R$1:$S$100,2,FALSE), " ")</f>
        <v xml:space="preserve"> </v>
      </c>
      <c r="AM171" s="32"/>
      <c r="AN171" s="32"/>
      <c r="AO171" s="53"/>
      <c r="AP171" s="21" t="str">
        <f>IFERROR(VLOOKUP(September[[#This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21" t="str">
        <f>IFERROR(VLOOKUP(September[[#This Row],[Drug Name7]],'Data Options'!$R$1:$S$100,2,FALSE), " ")</f>
        <v xml:space="preserve"> </v>
      </c>
      <c r="AZ171" s="32"/>
      <c r="BA171" s="32"/>
      <c r="BB171" s="53"/>
      <c r="BC171" s="21" t="str">
        <f>IFERROR(VLOOKUP(September[[#This Row],[Drug Name8]],'Data Options'!$R$1:$S$100,2,FALSE), " ")</f>
        <v xml:space="preserve"> </v>
      </c>
      <c r="BD171" s="32"/>
      <c r="BE171" s="32"/>
      <c r="BF171" s="53"/>
      <c r="BG171" s="21" t="str">
        <f>IFERROR(VLOOKUP(September[[#This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21" t="str">
        <f>IFERROR(VLOOKUP(September[[#This Row],[Drug Name]],'Data Options'!$R$1:$S$100,2,FALSE), " ")</f>
        <v xml:space="preserve"> </v>
      </c>
      <c r="R172" s="32"/>
      <c r="S172" s="32"/>
      <c r="T172" s="53"/>
      <c r="U172" s="21" t="str">
        <f>IFERROR(VLOOKUP(September[[#This Row],[Drug Name2]],'Data Options'!$R$1:$S$100,2,FALSE), " ")</f>
        <v xml:space="preserve"> </v>
      </c>
      <c r="V172" s="32"/>
      <c r="W172" s="32"/>
      <c r="X172" s="53"/>
      <c r="Y172" s="21" t="str">
        <f>IFERROR(VLOOKUP(September[[#This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21" t="str">
        <f>IFERROR(VLOOKUP(September[[#This Row],[Drug Name4]],'Data Options'!$R$1:$S$100,2,FALSE), " ")</f>
        <v xml:space="preserve"> </v>
      </c>
      <c r="AI172" s="32"/>
      <c r="AJ172" s="32"/>
      <c r="AK172" s="53"/>
      <c r="AL172" s="21" t="str">
        <f>IFERROR(VLOOKUP(September[[#This Row],[Drug Name5]],'Data Options'!$R$1:$S$100,2,FALSE), " ")</f>
        <v xml:space="preserve"> </v>
      </c>
      <c r="AM172" s="32"/>
      <c r="AN172" s="32"/>
      <c r="AO172" s="53"/>
      <c r="AP172" s="21" t="str">
        <f>IFERROR(VLOOKUP(September[[#This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21" t="str">
        <f>IFERROR(VLOOKUP(September[[#This Row],[Drug Name7]],'Data Options'!$R$1:$S$100,2,FALSE), " ")</f>
        <v xml:space="preserve"> </v>
      </c>
      <c r="AZ172" s="32"/>
      <c r="BA172" s="32"/>
      <c r="BB172" s="53"/>
      <c r="BC172" s="21" t="str">
        <f>IFERROR(VLOOKUP(September[[#This Row],[Drug Name8]],'Data Options'!$R$1:$S$100,2,FALSE), " ")</f>
        <v xml:space="preserve"> </v>
      </c>
      <c r="BD172" s="32"/>
      <c r="BE172" s="32"/>
      <c r="BF172" s="53"/>
      <c r="BG172" s="21" t="str">
        <f>IFERROR(VLOOKUP(September[[#This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21" t="str">
        <f>IFERROR(VLOOKUP(September[[#This Row],[Drug Name]],'Data Options'!$R$1:$S$100,2,FALSE), " ")</f>
        <v xml:space="preserve"> </v>
      </c>
      <c r="R173" s="32"/>
      <c r="S173" s="32"/>
      <c r="T173" s="53"/>
      <c r="U173" s="21" t="str">
        <f>IFERROR(VLOOKUP(September[[#This Row],[Drug Name2]],'Data Options'!$R$1:$S$100,2,FALSE), " ")</f>
        <v xml:space="preserve"> </v>
      </c>
      <c r="V173" s="32"/>
      <c r="W173" s="32"/>
      <c r="X173" s="53"/>
      <c r="Y173" s="21" t="str">
        <f>IFERROR(VLOOKUP(September[[#This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21" t="str">
        <f>IFERROR(VLOOKUP(September[[#This Row],[Drug Name4]],'Data Options'!$R$1:$S$100,2,FALSE), " ")</f>
        <v xml:space="preserve"> </v>
      </c>
      <c r="AI173" s="32"/>
      <c r="AJ173" s="32"/>
      <c r="AK173" s="53"/>
      <c r="AL173" s="21" t="str">
        <f>IFERROR(VLOOKUP(September[[#This Row],[Drug Name5]],'Data Options'!$R$1:$S$100,2,FALSE), " ")</f>
        <v xml:space="preserve"> </v>
      </c>
      <c r="AM173" s="32"/>
      <c r="AN173" s="32"/>
      <c r="AO173" s="53"/>
      <c r="AP173" s="21" t="str">
        <f>IFERROR(VLOOKUP(September[[#This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21" t="str">
        <f>IFERROR(VLOOKUP(September[[#This Row],[Drug Name7]],'Data Options'!$R$1:$S$100,2,FALSE), " ")</f>
        <v xml:space="preserve"> </v>
      </c>
      <c r="AZ173" s="32"/>
      <c r="BA173" s="32"/>
      <c r="BB173" s="53"/>
      <c r="BC173" s="21" t="str">
        <f>IFERROR(VLOOKUP(September[[#This Row],[Drug Name8]],'Data Options'!$R$1:$S$100,2,FALSE), " ")</f>
        <v xml:space="preserve"> </v>
      </c>
      <c r="BD173" s="32"/>
      <c r="BE173" s="32"/>
      <c r="BF173" s="53"/>
      <c r="BG173" s="21" t="str">
        <f>IFERROR(VLOOKUP(September[[#This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21" t="str">
        <f>IFERROR(VLOOKUP(September[[#This Row],[Drug Name]],'Data Options'!$R$1:$S$100,2,FALSE), " ")</f>
        <v xml:space="preserve"> </v>
      </c>
      <c r="R174" s="32"/>
      <c r="S174" s="32"/>
      <c r="T174" s="53"/>
      <c r="U174" s="21" t="str">
        <f>IFERROR(VLOOKUP(September[[#This Row],[Drug Name2]],'Data Options'!$R$1:$S$100,2,FALSE), " ")</f>
        <v xml:space="preserve"> </v>
      </c>
      <c r="V174" s="32"/>
      <c r="W174" s="32"/>
      <c r="X174" s="53"/>
      <c r="Y174" s="21" t="str">
        <f>IFERROR(VLOOKUP(September[[#This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21" t="str">
        <f>IFERROR(VLOOKUP(September[[#This Row],[Drug Name4]],'Data Options'!$R$1:$S$100,2,FALSE), " ")</f>
        <v xml:space="preserve"> </v>
      </c>
      <c r="AI174" s="32"/>
      <c r="AJ174" s="32"/>
      <c r="AK174" s="53"/>
      <c r="AL174" s="21" t="str">
        <f>IFERROR(VLOOKUP(September[[#This Row],[Drug Name5]],'Data Options'!$R$1:$S$100,2,FALSE), " ")</f>
        <v xml:space="preserve"> </v>
      </c>
      <c r="AM174" s="32"/>
      <c r="AN174" s="32"/>
      <c r="AO174" s="53"/>
      <c r="AP174" s="21" t="str">
        <f>IFERROR(VLOOKUP(September[[#This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21" t="str">
        <f>IFERROR(VLOOKUP(September[[#This Row],[Drug Name7]],'Data Options'!$R$1:$S$100,2,FALSE), " ")</f>
        <v xml:space="preserve"> </v>
      </c>
      <c r="AZ174" s="32"/>
      <c r="BA174" s="32"/>
      <c r="BB174" s="53"/>
      <c r="BC174" s="21" t="str">
        <f>IFERROR(VLOOKUP(September[[#This Row],[Drug Name8]],'Data Options'!$R$1:$S$100,2,FALSE), " ")</f>
        <v xml:space="preserve"> </v>
      </c>
      <c r="BD174" s="32"/>
      <c r="BE174" s="32"/>
      <c r="BF174" s="53"/>
      <c r="BG174" s="21" t="str">
        <f>IFERROR(VLOOKUP(September[[#This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21" t="str">
        <f>IFERROR(VLOOKUP(September[[#This Row],[Drug Name]],'Data Options'!$R$1:$S$100,2,FALSE), " ")</f>
        <v xml:space="preserve"> </v>
      </c>
      <c r="R175" s="32"/>
      <c r="S175" s="32"/>
      <c r="T175" s="53"/>
      <c r="U175" s="21" t="str">
        <f>IFERROR(VLOOKUP(September[[#This Row],[Drug Name2]],'Data Options'!$R$1:$S$100,2,FALSE), " ")</f>
        <v xml:space="preserve"> </v>
      </c>
      <c r="V175" s="32"/>
      <c r="W175" s="32"/>
      <c r="X175" s="53"/>
      <c r="Y175" s="21" t="str">
        <f>IFERROR(VLOOKUP(September[[#This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21" t="str">
        <f>IFERROR(VLOOKUP(September[[#This Row],[Drug Name4]],'Data Options'!$R$1:$S$100,2,FALSE), " ")</f>
        <v xml:space="preserve"> </v>
      </c>
      <c r="AI175" s="32"/>
      <c r="AJ175" s="32"/>
      <c r="AK175" s="53"/>
      <c r="AL175" s="21" t="str">
        <f>IFERROR(VLOOKUP(September[[#This Row],[Drug Name5]],'Data Options'!$R$1:$S$100,2,FALSE), " ")</f>
        <v xml:space="preserve"> </v>
      </c>
      <c r="AM175" s="32"/>
      <c r="AN175" s="32"/>
      <c r="AO175" s="53"/>
      <c r="AP175" s="21" t="str">
        <f>IFERROR(VLOOKUP(September[[#This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21" t="str">
        <f>IFERROR(VLOOKUP(September[[#This Row],[Drug Name7]],'Data Options'!$R$1:$S$100,2,FALSE), " ")</f>
        <v xml:space="preserve"> </v>
      </c>
      <c r="AZ175" s="32"/>
      <c r="BA175" s="32"/>
      <c r="BB175" s="53"/>
      <c r="BC175" s="21" t="str">
        <f>IFERROR(VLOOKUP(September[[#This Row],[Drug Name8]],'Data Options'!$R$1:$S$100,2,FALSE), " ")</f>
        <v xml:space="preserve"> </v>
      </c>
      <c r="BD175" s="32"/>
      <c r="BE175" s="32"/>
      <c r="BF175" s="53"/>
      <c r="BG175" s="21" t="str">
        <f>IFERROR(VLOOKUP(September[[#This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21" t="str">
        <f>IFERROR(VLOOKUP(September[[#This Row],[Drug Name]],'Data Options'!$R$1:$S$100,2,FALSE), " ")</f>
        <v xml:space="preserve"> </v>
      </c>
      <c r="R176" s="32"/>
      <c r="S176" s="32"/>
      <c r="T176" s="53"/>
      <c r="U176" s="21" t="str">
        <f>IFERROR(VLOOKUP(September[[#This Row],[Drug Name2]],'Data Options'!$R$1:$S$100,2,FALSE), " ")</f>
        <v xml:space="preserve"> </v>
      </c>
      <c r="V176" s="32"/>
      <c r="W176" s="32"/>
      <c r="X176" s="53"/>
      <c r="Y176" s="21" t="str">
        <f>IFERROR(VLOOKUP(September[[#This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21" t="str">
        <f>IFERROR(VLOOKUP(September[[#This Row],[Drug Name4]],'Data Options'!$R$1:$S$100,2,FALSE), " ")</f>
        <v xml:space="preserve"> </v>
      </c>
      <c r="AI176" s="32"/>
      <c r="AJ176" s="32"/>
      <c r="AK176" s="53"/>
      <c r="AL176" s="21" t="str">
        <f>IFERROR(VLOOKUP(September[[#This Row],[Drug Name5]],'Data Options'!$R$1:$S$100,2,FALSE), " ")</f>
        <v xml:space="preserve"> </v>
      </c>
      <c r="AM176" s="32"/>
      <c r="AN176" s="32"/>
      <c r="AO176" s="53"/>
      <c r="AP176" s="21" t="str">
        <f>IFERROR(VLOOKUP(September[[#This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21" t="str">
        <f>IFERROR(VLOOKUP(September[[#This Row],[Drug Name7]],'Data Options'!$R$1:$S$100,2,FALSE), " ")</f>
        <v xml:space="preserve"> </v>
      </c>
      <c r="AZ176" s="32"/>
      <c r="BA176" s="32"/>
      <c r="BB176" s="53"/>
      <c r="BC176" s="21" t="str">
        <f>IFERROR(VLOOKUP(September[[#This Row],[Drug Name8]],'Data Options'!$R$1:$S$100,2,FALSE), " ")</f>
        <v xml:space="preserve"> </v>
      </c>
      <c r="BD176" s="32"/>
      <c r="BE176" s="32"/>
      <c r="BF176" s="53"/>
      <c r="BG176" s="21" t="str">
        <f>IFERROR(VLOOKUP(September[[#This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21" t="str">
        <f>IFERROR(VLOOKUP(September[[#This Row],[Drug Name]],'Data Options'!$R$1:$S$100,2,FALSE), " ")</f>
        <v xml:space="preserve"> </v>
      </c>
      <c r="R177" s="32"/>
      <c r="S177" s="32"/>
      <c r="T177" s="53"/>
      <c r="U177" s="21" t="str">
        <f>IFERROR(VLOOKUP(September[[#This Row],[Drug Name2]],'Data Options'!$R$1:$S$100,2,FALSE), " ")</f>
        <v xml:space="preserve"> </v>
      </c>
      <c r="V177" s="32"/>
      <c r="W177" s="32"/>
      <c r="X177" s="53"/>
      <c r="Y177" s="21" t="str">
        <f>IFERROR(VLOOKUP(September[[#This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21" t="str">
        <f>IFERROR(VLOOKUP(September[[#This Row],[Drug Name4]],'Data Options'!$R$1:$S$100,2,FALSE), " ")</f>
        <v xml:space="preserve"> </v>
      </c>
      <c r="AI177" s="32"/>
      <c r="AJ177" s="32"/>
      <c r="AK177" s="53"/>
      <c r="AL177" s="21" t="str">
        <f>IFERROR(VLOOKUP(September[[#This Row],[Drug Name5]],'Data Options'!$R$1:$S$100,2,FALSE), " ")</f>
        <v xml:space="preserve"> </v>
      </c>
      <c r="AM177" s="32"/>
      <c r="AN177" s="32"/>
      <c r="AO177" s="53"/>
      <c r="AP177" s="21" t="str">
        <f>IFERROR(VLOOKUP(September[[#This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21" t="str">
        <f>IFERROR(VLOOKUP(September[[#This Row],[Drug Name7]],'Data Options'!$R$1:$S$100,2,FALSE), " ")</f>
        <v xml:space="preserve"> </v>
      </c>
      <c r="AZ177" s="32"/>
      <c r="BA177" s="32"/>
      <c r="BB177" s="53"/>
      <c r="BC177" s="21" t="str">
        <f>IFERROR(VLOOKUP(September[[#This Row],[Drug Name8]],'Data Options'!$R$1:$S$100,2,FALSE), " ")</f>
        <v xml:space="preserve"> </v>
      </c>
      <c r="BD177" s="32"/>
      <c r="BE177" s="32"/>
      <c r="BF177" s="53"/>
      <c r="BG177" s="21" t="str">
        <f>IFERROR(VLOOKUP(September[[#This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21" t="str">
        <f>IFERROR(VLOOKUP(September[[#This Row],[Drug Name]],'Data Options'!$R$1:$S$100,2,FALSE), " ")</f>
        <v xml:space="preserve"> </v>
      </c>
      <c r="R178" s="32"/>
      <c r="S178" s="32"/>
      <c r="T178" s="53"/>
      <c r="U178" s="21" t="str">
        <f>IFERROR(VLOOKUP(September[[#This Row],[Drug Name2]],'Data Options'!$R$1:$S$100,2,FALSE), " ")</f>
        <v xml:space="preserve"> </v>
      </c>
      <c r="V178" s="32"/>
      <c r="W178" s="32"/>
      <c r="X178" s="53"/>
      <c r="Y178" s="21" t="str">
        <f>IFERROR(VLOOKUP(September[[#This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21" t="str">
        <f>IFERROR(VLOOKUP(September[[#This Row],[Drug Name4]],'Data Options'!$R$1:$S$100,2,FALSE), " ")</f>
        <v xml:space="preserve"> </v>
      </c>
      <c r="AI178" s="32"/>
      <c r="AJ178" s="32"/>
      <c r="AK178" s="53"/>
      <c r="AL178" s="21" t="str">
        <f>IFERROR(VLOOKUP(September[[#This Row],[Drug Name5]],'Data Options'!$R$1:$S$100,2,FALSE), " ")</f>
        <v xml:space="preserve"> </v>
      </c>
      <c r="AM178" s="32"/>
      <c r="AN178" s="32"/>
      <c r="AO178" s="53"/>
      <c r="AP178" s="21" t="str">
        <f>IFERROR(VLOOKUP(September[[#This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21" t="str">
        <f>IFERROR(VLOOKUP(September[[#This Row],[Drug Name7]],'Data Options'!$R$1:$S$100,2,FALSE), " ")</f>
        <v xml:space="preserve"> </v>
      </c>
      <c r="AZ178" s="32"/>
      <c r="BA178" s="32"/>
      <c r="BB178" s="53"/>
      <c r="BC178" s="21" t="str">
        <f>IFERROR(VLOOKUP(September[[#This Row],[Drug Name8]],'Data Options'!$R$1:$S$100,2,FALSE), " ")</f>
        <v xml:space="preserve"> </v>
      </c>
      <c r="BD178" s="32"/>
      <c r="BE178" s="32"/>
      <c r="BF178" s="53"/>
      <c r="BG178" s="21" t="str">
        <f>IFERROR(VLOOKUP(September[[#This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21" t="str">
        <f>IFERROR(VLOOKUP(September[[#This Row],[Drug Name]],'Data Options'!$R$1:$S$100,2,FALSE), " ")</f>
        <v xml:space="preserve"> </v>
      </c>
      <c r="R179" s="32"/>
      <c r="S179" s="32"/>
      <c r="T179" s="53"/>
      <c r="U179" s="21" t="str">
        <f>IFERROR(VLOOKUP(September[[#This Row],[Drug Name2]],'Data Options'!$R$1:$S$100,2,FALSE), " ")</f>
        <v xml:space="preserve"> </v>
      </c>
      <c r="V179" s="32"/>
      <c r="W179" s="32"/>
      <c r="X179" s="53"/>
      <c r="Y179" s="21" t="str">
        <f>IFERROR(VLOOKUP(September[[#This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21" t="str">
        <f>IFERROR(VLOOKUP(September[[#This Row],[Drug Name4]],'Data Options'!$R$1:$S$100,2,FALSE), " ")</f>
        <v xml:space="preserve"> </v>
      </c>
      <c r="AI179" s="32"/>
      <c r="AJ179" s="32"/>
      <c r="AK179" s="53"/>
      <c r="AL179" s="21" t="str">
        <f>IFERROR(VLOOKUP(September[[#This Row],[Drug Name5]],'Data Options'!$R$1:$S$100,2,FALSE), " ")</f>
        <v xml:space="preserve"> </v>
      </c>
      <c r="AM179" s="32"/>
      <c r="AN179" s="32"/>
      <c r="AO179" s="53"/>
      <c r="AP179" s="21" t="str">
        <f>IFERROR(VLOOKUP(September[[#This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21" t="str">
        <f>IFERROR(VLOOKUP(September[[#This Row],[Drug Name7]],'Data Options'!$R$1:$S$100,2,FALSE), " ")</f>
        <v xml:space="preserve"> </v>
      </c>
      <c r="AZ179" s="32"/>
      <c r="BA179" s="32"/>
      <c r="BB179" s="53"/>
      <c r="BC179" s="21" t="str">
        <f>IFERROR(VLOOKUP(September[[#This Row],[Drug Name8]],'Data Options'!$R$1:$S$100,2,FALSE), " ")</f>
        <v xml:space="preserve"> </v>
      </c>
      <c r="BD179" s="32"/>
      <c r="BE179" s="32"/>
      <c r="BF179" s="53"/>
      <c r="BG179" s="21" t="str">
        <f>IFERROR(VLOOKUP(September[[#This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21" t="str">
        <f>IFERROR(VLOOKUP(September[[#This Row],[Drug Name]],'Data Options'!$R$1:$S$100,2,FALSE), " ")</f>
        <v xml:space="preserve"> </v>
      </c>
      <c r="R180" s="32"/>
      <c r="S180" s="32"/>
      <c r="T180" s="53"/>
      <c r="U180" s="21" t="str">
        <f>IFERROR(VLOOKUP(September[[#This Row],[Drug Name2]],'Data Options'!$R$1:$S$100,2,FALSE), " ")</f>
        <v xml:space="preserve"> </v>
      </c>
      <c r="V180" s="32"/>
      <c r="W180" s="32"/>
      <c r="X180" s="53"/>
      <c r="Y180" s="21" t="str">
        <f>IFERROR(VLOOKUP(September[[#This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21" t="str">
        <f>IFERROR(VLOOKUP(September[[#This Row],[Drug Name4]],'Data Options'!$R$1:$S$100,2,FALSE), " ")</f>
        <v xml:space="preserve"> </v>
      </c>
      <c r="AI180" s="32"/>
      <c r="AJ180" s="32"/>
      <c r="AK180" s="53"/>
      <c r="AL180" s="21" t="str">
        <f>IFERROR(VLOOKUP(September[[#This Row],[Drug Name5]],'Data Options'!$R$1:$S$100,2,FALSE), " ")</f>
        <v xml:space="preserve"> </v>
      </c>
      <c r="AM180" s="32"/>
      <c r="AN180" s="32"/>
      <c r="AO180" s="53"/>
      <c r="AP180" s="21" t="str">
        <f>IFERROR(VLOOKUP(September[[#This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21" t="str">
        <f>IFERROR(VLOOKUP(September[[#This Row],[Drug Name7]],'Data Options'!$R$1:$S$100,2,FALSE), " ")</f>
        <v xml:space="preserve"> </v>
      </c>
      <c r="AZ180" s="32"/>
      <c r="BA180" s="32"/>
      <c r="BB180" s="53"/>
      <c r="BC180" s="21" t="str">
        <f>IFERROR(VLOOKUP(September[[#This Row],[Drug Name8]],'Data Options'!$R$1:$S$100,2,FALSE), " ")</f>
        <v xml:space="preserve"> </v>
      </c>
      <c r="BD180" s="32"/>
      <c r="BE180" s="32"/>
      <c r="BF180" s="53"/>
      <c r="BG180" s="21" t="str">
        <f>IFERROR(VLOOKUP(September[[#This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21" t="str">
        <f>IFERROR(VLOOKUP(September[[#This Row],[Drug Name]],'Data Options'!$R$1:$S$100,2,FALSE), " ")</f>
        <v xml:space="preserve"> </v>
      </c>
      <c r="R181" s="32"/>
      <c r="S181" s="32"/>
      <c r="T181" s="53"/>
      <c r="U181" s="21" t="str">
        <f>IFERROR(VLOOKUP(September[[#This Row],[Drug Name2]],'Data Options'!$R$1:$S$100,2,FALSE), " ")</f>
        <v xml:space="preserve"> </v>
      </c>
      <c r="V181" s="32"/>
      <c r="W181" s="32"/>
      <c r="X181" s="53"/>
      <c r="Y181" s="21" t="str">
        <f>IFERROR(VLOOKUP(September[[#This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21" t="str">
        <f>IFERROR(VLOOKUP(September[[#This Row],[Drug Name4]],'Data Options'!$R$1:$S$100,2,FALSE), " ")</f>
        <v xml:space="preserve"> </v>
      </c>
      <c r="AI181" s="32"/>
      <c r="AJ181" s="32"/>
      <c r="AK181" s="53"/>
      <c r="AL181" s="21" t="str">
        <f>IFERROR(VLOOKUP(September[[#This Row],[Drug Name5]],'Data Options'!$R$1:$S$100,2,FALSE), " ")</f>
        <v xml:space="preserve"> </v>
      </c>
      <c r="AM181" s="32"/>
      <c r="AN181" s="32"/>
      <c r="AO181" s="53"/>
      <c r="AP181" s="21" t="str">
        <f>IFERROR(VLOOKUP(September[[#This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21" t="str">
        <f>IFERROR(VLOOKUP(September[[#This Row],[Drug Name7]],'Data Options'!$R$1:$S$100,2,FALSE), " ")</f>
        <v xml:space="preserve"> </v>
      </c>
      <c r="AZ181" s="32"/>
      <c r="BA181" s="32"/>
      <c r="BB181" s="53"/>
      <c r="BC181" s="21" t="str">
        <f>IFERROR(VLOOKUP(September[[#This Row],[Drug Name8]],'Data Options'!$R$1:$S$100,2,FALSE), " ")</f>
        <v xml:space="preserve"> </v>
      </c>
      <c r="BD181" s="32"/>
      <c r="BE181" s="32"/>
      <c r="BF181" s="53"/>
      <c r="BG181" s="21" t="str">
        <f>IFERROR(VLOOKUP(September[[#This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21" t="str">
        <f>IFERROR(VLOOKUP(September[[#This Row],[Drug Name]],'Data Options'!$R$1:$S$100,2,FALSE), " ")</f>
        <v xml:space="preserve"> </v>
      </c>
      <c r="R182" s="32"/>
      <c r="S182" s="32"/>
      <c r="T182" s="53"/>
      <c r="U182" s="21" t="str">
        <f>IFERROR(VLOOKUP(September[[#This Row],[Drug Name2]],'Data Options'!$R$1:$S$100,2,FALSE), " ")</f>
        <v xml:space="preserve"> </v>
      </c>
      <c r="V182" s="32"/>
      <c r="W182" s="32"/>
      <c r="X182" s="53"/>
      <c r="Y182" s="21" t="str">
        <f>IFERROR(VLOOKUP(September[[#This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21" t="str">
        <f>IFERROR(VLOOKUP(September[[#This Row],[Drug Name4]],'Data Options'!$R$1:$S$100,2,FALSE), " ")</f>
        <v xml:space="preserve"> </v>
      </c>
      <c r="AI182" s="32"/>
      <c r="AJ182" s="32"/>
      <c r="AK182" s="53"/>
      <c r="AL182" s="21" t="str">
        <f>IFERROR(VLOOKUP(September[[#This Row],[Drug Name5]],'Data Options'!$R$1:$S$100,2,FALSE), " ")</f>
        <v xml:space="preserve"> </v>
      </c>
      <c r="AM182" s="32"/>
      <c r="AN182" s="32"/>
      <c r="AO182" s="53"/>
      <c r="AP182" s="21" t="str">
        <f>IFERROR(VLOOKUP(September[[#This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21" t="str">
        <f>IFERROR(VLOOKUP(September[[#This Row],[Drug Name7]],'Data Options'!$R$1:$S$100,2,FALSE), " ")</f>
        <v xml:space="preserve"> </v>
      </c>
      <c r="AZ182" s="32"/>
      <c r="BA182" s="32"/>
      <c r="BB182" s="53"/>
      <c r="BC182" s="21" t="str">
        <f>IFERROR(VLOOKUP(September[[#This Row],[Drug Name8]],'Data Options'!$R$1:$S$100,2,FALSE), " ")</f>
        <v xml:space="preserve"> </v>
      </c>
      <c r="BD182" s="32"/>
      <c r="BE182" s="32"/>
      <c r="BF182" s="53"/>
      <c r="BG182" s="21" t="str">
        <f>IFERROR(VLOOKUP(September[[#This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21" t="str">
        <f>IFERROR(VLOOKUP(September[[#This Row],[Drug Name]],'Data Options'!$R$1:$S$100,2,FALSE), " ")</f>
        <v xml:space="preserve"> </v>
      </c>
      <c r="R183" s="32"/>
      <c r="S183" s="32"/>
      <c r="T183" s="53"/>
      <c r="U183" s="21" t="str">
        <f>IFERROR(VLOOKUP(September[[#This Row],[Drug Name2]],'Data Options'!$R$1:$S$100,2,FALSE), " ")</f>
        <v xml:space="preserve"> </v>
      </c>
      <c r="V183" s="32"/>
      <c r="W183" s="32"/>
      <c r="X183" s="53"/>
      <c r="Y183" s="21" t="str">
        <f>IFERROR(VLOOKUP(September[[#This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21" t="str">
        <f>IFERROR(VLOOKUP(September[[#This Row],[Drug Name4]],'Data Options'!$R$1:$S$100,2,FALSE), " ")</f>
        <v xml:space="preserve"> </v>
      </c>
      <c r="AI183" s="32"/>
      <c r="AJ183" s="32"/>
      <c r="AK183" s="53"/>
      <c r="AL183" s="21" t="str">
        <f>IFERROR(VLOOKUP(September[[#This Row],[Drug Name5]],'Data Options'!$R$1:$S$100,2,FALSE), " ")</f>
        <v xml:space="preserve"> </v>
      </c>
      <c r="AM183" s="32"/>
      <c r="AN183" s="32"/>
      <c r="AO183" s="53"/>
      <c r="AP183" s="21" t="str">
        <f>IFERROR(VLOOKUP(September[[#This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21" t="str">
        <f>IFERROR(VLOOKUP(September[[#This Row],[Drug Name7]],'Data Options'!$R$1:$S$100,2,FALSE), " ")</f>
        <v xml:space="preserve"> </v>
      </c>
      <c r="AZ183" s="32"/>
      <c r="BA183" s="32"/>
      <c r="BB183" s="53"/>
      <c r="BC183" s="21" t="str">
        <f>IFERROR(VLOOKUP(September[[#This Row],[Drug Name8]],'Data Options'!$R$1:$S$100,2,FALSE), " ")</f>
        <v xml:space="preserve"> </v>
      </c>
      <c r="BD183" s="32"/>
      <c r="BE183" s="32"/>
      <c r="BF183" s="53"/>
      <c r="BG183" s="21" t="str">
        <f>IFERROR(VLOOKUP(September[[#This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21" t="str">
        <f>IFERROR(VLOOKUP(September[[#This Row],[Drug Name]],'Data Options'!$R$1:$S$100,2,FALSE), " ")</f>
        <v xml:space="preserve"> </v>
      </c>
      <c r="R184" s="32"/>
      <c r="S184" s="32"/>
      <c r="T184" s="53"/>
      <c r="U184" s="21" t="str">
        <f>IFERROR(VLOOKUP(September[[#This Row],[Drug Name2]],'Data Options'!$R$1:$S$100,2,FALSE), " ")</f>
        <v xml:space="preserve"> </v>
      </c>
      <c r="V184" s="32"/>
      <c r="W184" s="32"/>
      <c r="X184" s="53"/>
      <c r="Y184" s="21" t="str">
        <f>IFERROR(VLOOKUP(September[[#This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21" t="str">
        <f>IFERROR(VLOOKUP(September[[#This Row],[Drug Name4]],'Data Options'!$R$1:$S$100,2,FALSE), " ")</f>
        <v xml:space="preserve"> </v>
      </c>
      <c r="AI184" s="32"/>
      <c r="AJ184" s="32"/>
      <c r="AK184" s="53"/>
      <c r="AL184" s="21" t="str">
        <f>IFERROR(VLOOKUP(September[[#This Row],[Drug Name5]],'Data Options'!$R$1:$S$100,2,FALSE), " ")</f>
        <v xml:space="preserve"> </v>
      </c>
      <c r="AM184" s="32"/>
      <c r="AN184" s="32"/>
      <c r="AO184" s="53"/>
      <c r="AP184" s="21" t="str">
        <f>IFERROR(VLOOKUP(September[[#This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21" t="str">
        <f>IFERROR(VLOOKUP(September[[#This Row],[Drug Name7]],'Data Options'!$R$1:$S$100,2,FALSE), " ")</f>
        <v xml:space="preserve"> </v>
      </c>
      <c r="AZ184" s="32"/>
      <c r="BA184" s="32"/>
      <c r="BB184" s="53"/>
      <c r="BC184" s="21" t="str">
        <f>IFERROR(VLOOKUP(September[[#This Row],[Drug Name8]],'Data Options'!$R$1:$S$100,2,FALSE), " ")</f>
        <v xml:space="preserve"> </v>
      </c>
      <c r="BD184" s="32"/>
      <c r="BE184" s="32"/>
      <c r="BF184" s="53"/>
      <c r="BG184" s="21" t="str">
        <f>IFERROR(VLOOKUP(September[[#This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21" t="str">
        <f>IFERROR(VLOOKUP(September[[#This Row],[Drug Name]],'Data Options'!$R$1:$S$100,2,FALSE), " ")</f>
        <v xml:space="preserve"> </v>
      </c>
      <c r="R185" s="32"/>
      <c r="S185" s="32"/>
      <c r="T185" s="53"/>
      <c r="U185" s="21" t="str">
        <f>IFERROR(VLOOKUP(September[[#This Row],[Drug Name2]],'Data Options'!$R$1:$S$100,2,FALSE), " ")</f>
        <v xml:space="preserve"> </v>
      </c>
      <c r="V185" s="32"/>
      <c r="W185" s="32"/>
      <c r="X185" s="53"/>
      <c r="Y185" s="21" t="str">
        <f>IFERROR(VLOOKUP(September[[#This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21" t="str">
        <f>IFERROR(VLOOKUP(September[[#This Row],[Drug Name4]],'Data Options'!$R$1:$S$100,2,FALSE), " ")</f>
        <v xml:space="preserve"> </v>
      </c>
      <c r="AI185" s="32"/>
      <c r="AJ185" s="32"/>
      <c r="AK185" s="53"/>
      <c r="AL185" s="21" t="str">
        <f>IFERROR(VLOOKUP(September[[#This Row],[Drug Name5]],'Data Options'!$R$1:$S$100,2,FALSE), " ")</f>
        <v xml:space="preserve"> </v>
      </c>
      <c r="AM185" s="32"/>
      <c r="AN185" s="32"/>
      <c r="AO185" s="53"/>
      <c r="AP185" s="21" t="str">
        <f>IFERROR(VLOOKUP(September[[#This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21" t="str">
        <f>IFERROR(VLOOKUP(September[[#This Row],[Drug Name7]],'Data Options'!$R$1:$S$100,2,FALSE), " ")</f>
        <v xml:space="preserve"> </v>
      </c>
      <c r="AZ185" s="32"/>
      <c r="BA185" s="32"/>
      <c r="BB185" s="53"/>
      <c r="BC185" s="21" t="str">
        <f>IFERROR(VLOOKUP(September[[#This Row],[Drug Name8]],'Data Options'!$R$1:$S$100,2,FALSE), " ")</f>
        <v xml:space="preserve"> </v>
      </c>
      <c r="BD185" s="32"/>
      <c r="BE185" s="32"/>
      <c r="BF185" s="53"/>
      <c r="BG185" s="21" t="str">
        <f>IFERROR(VLOOKUP(September[[#This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21" t="str">
        <f>IFERROR(VLOOKUP(September[[#This Row],[Drug Name]],'Data Options'!$R$1:$S$100,2,FALSE), " ")</f>
        <v xml:space="preserve"> </v>
      </c>
      <c r="R186" s="32"/>
      <c r="S186" s="32"/>
      <c r="T186" s="53"/>
      <c r="U186" s="21" t="str">
        <f>IFERROR(VLOOKUP(September[[#This Row],[Drug Name2]],'Data Options'!$R$1:$S$100,2,FALSE), " ")</f>
        <v xml:space="preserve"> </v>
      </c>
      <c r="V186" s="32"/>
      <c r="W186" s="32"/>
      <c r="X186" s="53"/>
      <c r="Y186" s="21" t="str">
        <f>IFERROR(VLOOKUP(September[[#This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21" t="str">
        <f>IFERROR(VLOOKUP(September[[#This Row],[Drug Name4]],'Data Options'!$R$1:$S$100,2,FALSE), " ")</f>
        <v xml:space="preserve"> </v>
      </c>
      <c r="AI186" s="32"/>
      <c r="AJ186" s="32"/>
      <c r="AK186" s="53"/>
      <c r="AL186" s="21" t="str">
        <f>IFERROR(VLOOKUP(September[[#This Row],[Drug Name5]],'Data Options'!$R$1:$S$100,2,FALSE), " ")</f>
        <v xml:space="preserve"> </v>
      </c>
      <c r="AM186" s="32"/>
      <c r="AN186" s="32"/>
      <c r="AO186" s="53"/>
      <c r="AP186" s="21" t="str">
        <f>IFERROR(VLOOKUP(September[[#This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21" t="str">
        <f>IFERROR(VLOOKUP(September[[#This Row],[Drug Name7]],'Data Options'!$R$1:$S$100,2,FALSE), " ")</f>
        <v xml:space="preserve"> </v>
      </c>
      <c r="AZ186" s="32"/>
      <c r="BA186" s="32"/>
      <c r="BB186" s="53"/>
      <c r="BC186" s="21" t="str">
        <f>IFERROR(VLOOKUP(September[[#This Row],[Drug Name8]],'Data Options'!$R$1:$S$100,2,FALSE), " ")</f>
        <v xml:space="preserve"> </v>
      </c>
      <c r="BD186" s="32"/>
      <c r="BE186" s="32"/>
      <c r="BF186" s="53"/>
      <c r="BG186" s="21" t="str">
        <f>IFERROR(VLOOKUP(September[[#This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21" t="str">
        <f>IFERROR(VLOOKUP(September[[#This Row],[Drug Name]],'Data Options'!$R$1:$S$100,2,FALSE), " ")</f>
        <v xml:space="preserve"> </v>
      </c>
      <c r="R187" s="32"/>
      <c r="S187" s="32"/>
      <c r="T187" s="53"/>
      <c r="U187" s="21" t="str">
        <f>IFERROR(VLOOKUP(September[[#This Row],[Drug Name2]],'Data Options'!$R$1:$S$100,2,FALSE), " ")</f>
        <v xml:space="preserve"> </v>
      </c>
      <c r="V187" s="32"/>
      <c r="W187" s="32"/>
      <c r="X187" s="53"/>
      <c r="Y187" s="21" t="str">
        <f>IFERROR(VLOOKUP(September[[#This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21" t="str">
        <f>IFERROR(VLOOKUP(September[[#This Row],[Drug Name4]],'Data Options'!$R$1:$S$100,2,FALSE), " ")</f>
        <v xml:space="preserve"> </v>
      </c>
      <c r="AI187" s="32"/>
      <c r="AJ187" s="32"/>
      <c r="AK187" s="53"/>
      <c r="AL187" s="21" t="str">
        <f>IFERROR(VLOOKUP(September[[#This Row],[Drug Name5]],'Data Options'!$R$1:$S$100,2,FALSE), " ")</f>
        <v xml:space="preserve"> </v>
      </c>
      <c r="AM187" s="32"/>
      <c r="AN187" s="32"/>
      <c r="AO187" s="53"/>
      <c r="AP187" s="21" t="str">
        <f>IFERROR(VLOOKUP(September[[#This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21" t="str">
        <f>IFERROR(VLOOKUP(September[[#This Row],[Drug Name7]],'Data Options'!$R$1:$S$100,2,FALSE), " ")</f>
        <v xml:space="preserve"> </v>
      </c>
      <c r="AZ187" s="32"/>
      <c r="BA187" s="32"/>
      <c r="BB187" s="53"/>
      <c r="BC187" s="21" t="str">
        <f>IFERROR(VLOOKUP(September[[#This Row],[Drug Name8]],'Data Options'!$R$1:$S$100,2,FALSE), " ")</f>
        <v xml:space="preserve"> </v>
      </c>
      <c r="BD187" s="32"/>
      <c r="BE187" s="32"/>
      <c r="BF187" s="53"/>
      <c r="BG187" s="21" t="str">
        <f>IFERROR(VLOOKUP(September[[#This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21" t="str">
        <f>IFERROR(VLOOKUP(September[[#This Row],[Drug Name]],'Data Options'!$R$1:$S$100,2,FALSE), " ")</f>
        <v xml:space="preserve"> </v>
      </c>
      <c r="R188" s="32"/>
      <c r="S188" s="32"/>
      <c r="T188" s="53"/>
      <c r="U188" s="21" t="str">
        <f>IFERROR(VLOOKUP(September[[#This Row],[Drug Name2]],'Data Options'!$R$1:$S$100,2,FALSE), " ")</f>
        <v xml:space="preserve"> </v>
      </c>
      <c r="V188" s="32"/>
      <c r="W188" s="32"/>
      <c r="X188" s="53"/>
      <c r="Y188" s="21" t="str">
        <f>IFERROR(VLOOKUP(September[[#This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21" t="str">
        <f>IFERROR(VLOOKUP(September[[#This Row],[Drug Name4]],'Data Options'!$R$1:$S$100,2,FALSE), " ")</f>
        <v xml:space="preserve"> </v>
      </c>
      <c r="AI188" s="32"/>
      <c r="AJ188" s="32"/>
      <c r="AK188" s="53"/>
      <c r="AL188" s="21" t="str">
        <f>IFERROR(VLOOKUP(September[[#This Row],[Drug Name5]],'Data Options'!$R$1:$S$100,2,FALSE), " ")</f>
        <v xml:space="preserve"> </v>
      </c>
      <c r="AM188" s="32"/>
      <c r="AN188" s="32"/>
      <c r="AO188" s="53"/>
      <c r="AP188" s="21" t="str">
        <f>IFERROR(VLOOKUP(September[[#This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21" t="str">
        <f>IFERROR(VLOOKUP(September[[#This Row],[Drug Name7]],'Data Options'!$R$1:$S$100,2,FALSE), " ")</f>
        <v xml:space="preserve"> </v>
      </c>
      <c r="AZ188" s="32"/>
      <c r="BA188" s="32"/>
      <c r="BB188" s="53"/>
      <c r="BC188" s="21" t="str">
        <f>IFERROR(VLOOKUP(September[[#This Row],[Drug Name8]],'Data Options'!$R$1:$S$100,2,FALSE), " ")</f>
        <v xml:space="preserve"> </v>
      </c>
      <c r="BD188" s="32"/>
      <c r="BE188" s="32"/>
      <c r="BF188" s="53"/>
      <c r="BG188" s="21" t="str">
        <f>IFERROR(VLOOKUP(September[[#This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21" t="str">
        <f>IFERROR(VLOOKUP(September[[#This Row],[Drug Name]],'Data Options'!$R$1:$S$100,2,FALSE), " ")</f>
        <v xml:space="preserve"> </v>
      </c>
      <c r="R189" s="32"/>
      <c r="S189" s="32"/>
      <c r="T189" s="53"/>
      <c r="U189" s="21" t="str">
        <f>IFERROR(VLOOKUP(September[[#This Row],[Drug Name2]],'Data Options'!$R$1:$S$100,2,FALSE), " ")</f>
        <v xml:space="preserve"> </v>
      </c>
      <c r="V189" s="32"/>
      <c r="W189" s="32"/>
      <c r="X189" s="53"/>
      <c r="Y189" s="21" t="str">
        <f>IFERROR(VLOOKUP(September[[#This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21" t="str">
        <f>IFERROR(VLOOKUP(September[[#This Row],[Drug Name4]],'Data Options'!$R$1:$S$100,2,FALSE), " ")</f>
        <v xml:space="preserve"> </v>
      </c>
      <c r="AI189" s="32"/>
      <c r="AJ189" s="32"/>
      <c r="AK189" s="53"/>
      <c r="AL189" s="21" t="str">
        <f>IFERROR(VLOOKUP(September[[#This Row],[Drug Name5]],'Data Options'!$R$1:$S$100,2,FALSE), " ")</f>
        <v xml:space="preserve"> </v>
      </c>
      <c r="AM189" s="32"/>
      <c r="AN189" s="32"/>
      <c r="AO189" s="53"/>
      <c r="AP189" s="21" t="str">
        <f>IFERROR(VLOOKUP(September[[#This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21" t="str">
        <f>IFERROR(VLOOKUP(September[[#This Row],[Drug Name7]],'Data Options'!$R$1:$S$100,2,FALSE), " ")</f>
        <v xml:space="preserve"> </v>
      </c>
      <c r="AZ189" s="32"/>
      <c r="BA189" s="32"/>
      <c r="BB189" s="53"/>
      <c r="BC189" s="21" t="str">
        <f>IFERROR(VLOOKUP(September[[#This Row],[Drug Name8]],'Data Options'!$R$1:$S$100,2,FALSE), " ")</f>
        <v xml:space="preserve"> </v>
      </c>
      <c r="BD189" s="32"/>
      <c r="BE189" s="32"/>
      <c r="BF189" s="53"/>
      <c r="BG189" s="21" t="str">
        <f>IFERROR(VLOOKUP(September[[#This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21" t="str">
        <f>IFERROR(VLOOKUP(September[[#This Row],[Drug Name]],'Data Options'!$R$1:$S$100,2,FALSE), " ")</f>
        <v xml:space="preserve"> </v>
      </c>
      <c r="R190" s="32"/>
      <c r="S190" s="32"/>
      <c r="T190" s="53"/>
      <c r="U190" s="21" t="str">
        <f>IFERROR(VLOOKUP(September[[#This Row],[Drug Name2]],'Data Options'!$R$1:$S$100,2,FALSE), " ")</f>
        <v xml:space="preserve"> </v>
      </c>
      <c r="V190" s="32"/>
      <c r="W190" s="32"/>
      <c r="X190" s="53"/>
      <c r="Y190" s="21" t="str">
        <f>IFERROR(VLOOKUP(September[[#This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21" t="str">
        <f>IFERROR(VLOOKUP(September[[#This Row],[Drug Name4]],'Data Options'!$R$1:$S$100,2,FALSE), " ")</f>
        <v xml:space="preserve"> </v>
      </c>
      <c r="AI190" s="32"/>
      <c r="AJ190" s="32"/>
      <c r="AK190" s="53"/>
      <c r="AL190" s="21" t="str">
        <f>IFERROR(VLOOKUP(September[[#This Row],[Drug Name5]],'Data Options'!$R$1:$S$100,2,FALSE), " ")</f>
        <v xml:space="preserve"> </v>
      </c>
      <c r="AM190" s="32"/>
      <c r="AN190" s="32"/>
      <c r="AO190" s="53"/>
      <c r="AP190" s="21" t="str">
        <f>IFERROR(VLOOKUP(September[[#This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21" t="str">
        <f>IFERROR(VLOOKUP(September[[#This Row],[Drug Name7]],'Data Options'!$R$1:$S$100,2,FALSE), " ")</f>
        <v xml:space="preserve"> </v>
      </c>
      <c r="AZ190" s="32"/>
      <c r="BA190" s="32"/>
      <c r="BB190" s="53"/>
      <c r="BC190" s="21" t="str">
        <f>IFERROR(VLOOKUP(September[[#This Row],[Drug Name8]],'Data Options'!$R$1:$S$100,2,FALSE), " ")</f>
        <v xml:space="preserve"> </v>
      </c>
      <c r="BD190" s="32"/>
      <c r="BE190" s="32"/>
      <c r="BF190" s="53"/>
      <c r="BG190" s="21" t="str">
        <f>IFERROR(VLOOKUP(September[[#This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21" t="str">
        <f>IFERROR(VLOOKUP(September[[#This Row],[Drug Name]],'Data Options'!$R$1:$S$100,2,FALSE), " ")</f>
        <v xml:space="preserve"> </v>
      </c>
      <c r="R191" s="32"/>
      <c r="S191" s="32"/>
      <c r="T191" s="53"/>
      <c r="U191" s="21" t="str">
        <f>IFERROR(VLOOKUP(September[[#This Row],[Drug Name2]],'Data Options'!$R$1:$S$100,2,FALSE), " ")</f>
        <v xml:space="preserve"> </v>
      </c>
      <c r="V191" s="32"/>
      <c r="W191" s="32"/>
      <c r="X191" s="53"/>
      <c r="Y191" s="21" t="str">
        <f>IFERROR(VLOOKUP(September[[#This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21" t="str">
        <f>IFERROR(VLOOKUP(September[[#This Row],[Drug Name4]],'Data Options'!$R$1:$S$100,2,FALSE), " ")</f>
        <v xml:space="preserve"> </v>
      </c>
      <c r="AI191" s="32"/>
      <c r="AJ191" s="32"/>
      <c r="AK191" s="53"/>
      <c r="AL191" s="21" t="str">
        <f>IFERROR(VLOOKUP(September[[#This Row],[Drug Name5]],'Data Options'!$R$1:$S$100,2,FALSE), " ")</f>
        <v xml:space="preserve"> </v>
      </c>
      <c r="AM191" s="32"/>
      <c r="AN191" s="32"/>
      <c r="AO191" s="53"/>
      <c r="AP191" s="21" t="str">
        <f>IFERROR(VLOOKUP(September[[#This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21" t="str">
        <f>IFERROR(VLOOKUP(September[[#This Row],[Drug Name7]],'Data Options'!$R$1:$S$100,2,FALSE), " ")</f>
        <v xml:space="preserve"> </v>
      </c>
      <c r="AZ191" s="32"/>
      <c r="BA191" s="32"/>
      <c r="BB191" s="53"/>
      <c r="BC191" s="21" t="str">
        <f>IFERROR(VLOOKUP(September[[#This Row],[Drug Name8]],'Data Options'!$R$1:$S$100,2,FALSE), " ")</f>
        <v xml:space="preserve"> </v>
      </c>
      <c r="BD191" s="32"/>
      <c r="BE191" s="32"/>
      <c r="BF191" s="53"/>
      <c r="BG191" s="21" t="str">
        <f>IFERROR(VLOOKUP(September[[#This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21" t="str">
        <f>IFERROR(VLOOKUP(September[[#This Row],[Drug Name]],'Data Options'!$R$1:$S$100,2,FALSE), " ")</f>
        <v xml:space="preserve"> </v>
      </c>
      <c r="R192" s="32"/>
      <c r="S192" s="32"/>
      <c r="T192" s="53"/>
      <c r="U192" s="21" t="str">
        <f>IFERROR(VLOOKUP(September[[#This Row],[Drug Name2]],'Data Options'!$R$1:$S$100,2,FALSE), " ")</f>
        <v xml:space="preserve"> </v>
      </c>
      <c r="V192" s="32"/>
      <c r="W192" s="32"/>
      <c r="X192" s="53"/>
      <c r="Y192" s="21" t="str">
        <f>IFERROR(VLOOKUP(September[[#This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21" t="str">
        <f>IFERROR(VLOOKUP(September[[#This Row],[Drug Name4]],'Data Options'!$R$1:$S$100,2,FALSE), " ")</f>
        <v xml:space="preserve"> </v>
      </c>
      <c r="AI192" s="32"/>
      <c r="AJ192" s="32"/>
      <c r="AK192" s="53"/>
      <c r="AL192" s="21" t="str">
        <f>IFERROR(VLOOKUP(September[[#This Row],[Drug Name5]],'Data Options'!$R$1:$S$100,2,FALSE), " ")</f>
        <v xml:space="preserve"> </v>
      </c>
      <c r="AM192" s="32"/>
      <c r="AN192" s="32"/>
      <c r="AO192" s="53"/>
      <c r="AP192" s="21" t="str">
        <f>IFERROR(VLOOKUP(September[[#This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21" t="str">
        <f>IFERROR(VLOOKUP(September[[#This Row],[Drug Name7]],'Data Options'!$R$1:$S$100,2,FALSE), " ")</f>
        <v xml:space="preserve"> </v>
      </c>
      <c r="AZ192" s="32"/>
      <c r="BA192" s="32"/>
      <c r="BB192" s="53"/>
      <c r="BC192" s="21" t="str">
        <f>IFERROR(VLOOKUP(September[[#This Row],[Drug Name8]],'Data Options'!$R$1:$S$100,2,FALSE), " ")</f>
        <v xml:space="preserve"> </v>
      </c>
      <c r="BD192" s="32"/>
      <c r="BE192" s="32"/>
      <c r="BF192" s="53"/>
      <c r="BG192" s="21" t="str">
        <f>IFERROR(VLOOKUP(September[[#This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21" t="str">
        <f>IFERROR(VLOOKUP(September[[#This Row],[Drug Name]],'Data Options'!$R$1:$S$100,2,FALSE), " ")</f>
        <v xml:space="preserve"> </v>
      </c>
      <c r="R193" s="32"/>
      <c r="S193" s="32"/>
      <c r="T193" s="53"/>
      <c r="U193" s="21" t="str">
        <f>IFERROR(VLOOKUP(September[[#This Row],[Drug Name2]],'Data Options'!$R$1:$S$100,2,FALSE), " ")</f>
        <v xml:space="preserve"> </v>
      </c>
      <c r="V193" s="32"/>
      <c r="W193" s="32"/>
      <c r="X193" s="53"/>
      <c r="Y193" s="21" t="str">
        <f>IFERROR(VLOOKUP(September[[#This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21" t="str">
        <f>IFERROR(VLOOKUP(September[[#This Row],[Drug Name4]],'Data Options'!$R$1:$S$100,2,FALSE), " ")</f>
        <v xml:space="preserve"> </v>
      </c>
      <c r="AI193" s="32"/>
      <c r="AJ193" s="32"/>
      <c r="AK193" s="53"/>
      <c r="AL193" s="21" t="str">
        <f>IFERROR(VLOOKUP(September[[#This Row],[Drug Name5]],'Data Options'!$R$1:$S$100,2,FALSE), " ")</f>
        <v xml:space="preserve"> </v>
      </c>
      <c r="AM193" s="32"/>
      <c r="AN193" s="32"/>
      <c r="AO193" s="53"/>
      <c r="AP193" s="21" t="str">
        <f>IFERROR(VLOOKUP(September[[#This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21" t="str">
        <f>IFERROR(VLOOKUP(September[[#This Row],[Drug Name7]],'Data Options'!$R$1:$S$100,2,FALSE), " ")</f>
        <v xml:space="preserve"> </v>
      </c>
      <c r="AZ193" s="32"/>
      <c r="BA193" s="32"/>
      <c r="BB193" s="53"/>
      <c r="BC193" s="21" t="str">
        <f>IFERROR(VLOOKUP(September[[#This Row],[Drug Name8]],'Data Options'!$R$1:$S$100,2,FALSE), " ")</f>
        <v xml:space="preserve"> </v>
      </c>
      <c r="BD193" s="32"/>
      <c r="BE193" s="32"/>
      <c r="BF193" s="53"/>
      <c r="BG193" s="21" t="str">
        <f>IFERROR(VLOOKUP(September[[#This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21" t="str">
        <f>IFERROR(VLOOKUP(September[[#This Row],[Drug Name]],'Data Options'!$R$1:$S$100,2,FALSE), " ")</f>
        <v xml:space="preserve"> </v>
      </c>
      <c r="R194" s="32"/>
      <c r="S194" s="32"/>
      <c r="T194" s="53"/>
      <c r="U194" s="21" t="str">
        <f>IFERROR(VLOOKUP(September[[#This Row],[Drug Name2]],'Data Options'!$R$1:$S$100,2,FALSE), " ")</f>
        <v xml:space="preserve"> </v>
      </c>
      <c r="V194" s="32"/>
      <c r="W194" s="32"/>
      <c r="X194" s="53"/>
      <c r="Y194" s="21" t="str">
        <f>IFERROR(VLOOKUP(September[[#This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21" t="str">
        <f>IFERROR(VLOOKUP(September[[#This Row],[Drug Name4]],'Data Options'!$R$1:$S$100,2,FALSE), " ")</f>
        <v xml:space="preserve"> </v>
      </c>
      <c r="AI194" s="32"/>
      <c r="AJ194" s="32"/>
      <c r="AK194" s="53"/>
      <c r="AL194" s="21" t="str">
        <f>IFERROR(VLOOKUP(September[[#This Row],[Drug Name5]],'Data Options'!$R$1:$S$100,2,FALSE), " ")</f>
        <v xml:space="preserve"> </v>
      </c>
      <c r="AM194" s="32"/>
      <c r="AN194" s="32"/>
      <c r="AO194" s="53"/>
      <c r="AP194" s="21" t="str">
        <f>IFERROR(VLOOKUP(September[[#This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21" t="str">
        <f>IFERROR(VLOOKUP(September[[#This Row],[Drug Name7]],'Data Options'!$R$1:$S$100,2,FALSE), " ")</f>
        <v xml:space="preserve"> </v>
      </c>
      <c r="AZ194" s="32"/>
      <c r="BA194" s="32"/>
      <c r="BB194" s="53"/>
      <c r="BC194" s="21" t="str">
        <f>IFERROR(VLOOKUP(September[[#This Row],[Drug Name8]],'Data Options'!$R$1:$S$100,2,FALSE), " ")</f>
        <v xml:space="preserve"> </v>
      </c>
      <c r="BD194" s="32"/>
      <c r="BE194" s="32"/>
      <c r="BF194" s="53"/>
      <c r="BG194" s="21" t="str">
        <f>IFERROR(VLOOKUP(September[[#This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21" t="str">
        <f>IFERROR(VLOOKUP(September[[#This Row],[Drug Name]],'Data Options'!$R$1:$S$100,2,FALSE), " ")</f>
        <v xml:space="preserve"> </v>
      </c>
      <c r="R195" s="32"/>
      <c r="S195" s="32"/>
      <c r="T195" s="53"/>
      <c r="U195" s="21" t="str">
        <f>IFERROR(VLOOKUP(September[[#This Row],[Drug Name2]],'Data Options'!$R$1:$S$100,2,FALSE), " ")</f>
        <v xml:space="preserve"> </v>
      </c>
      <c r="V195" s="32"/>
      <c r="W195" s="32"/>
      <c r="X195" s="53"/>
      <c r="Y195" s="21" t="str">
        <f>IFERROR(VLOOKUP(September[[#This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21" t="str">
        <f>IFERROR(VLOOKUP(September[[#This Row],[Drug Name4]],'Data Options'!$R$1:$S$100,2,FALSE), " ")</f>
        <v xml:space="preserve"> </v>
      </c>
      <c r="AI195" s="32"/>
      <c r="AJ195" s="32"/>
      <c r="AK195" s="53"/>
      <c r="AL195" s="21" t="str">
        <f>IFERROR(VLOOKUP(September[[#This Row],[Drug Name5]],'Data Options'!$R$1:$S$100,2,FALSE), " ")</f>
        <v xml:space="preserve"> </v>
      </c>
      <c r="AM195" s="32"/>
      <c r="AN195" s="32"/>
      <c r="AO195" s="53"/>
      <c r="AP195" s="21" t="str">
        <f>IFERROR(VLOOKUP(September[[#This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21" t="str">
        <f>IFERROR(VLOOKUP(September[[#This Row],[Drug Name7]],'Data Options'!$R$1:$S$100,2,FALSE), " ")</f>
        <v xml:space="preserve"> </v>
      </c>
      <c r="AZ195" s="32"/>
      <c r="BA195" s="32"/>
      <c r="BB195" s="53"/>
      <c r="BC195" s="21" t="str">
        <f>IFERROR(VLOOKUP(September[[#This Row],[Drug Name8]],'Data Options'!$R$1:$S$100,2,FALSE), " ")</f>
        <v xml:space="preserve"> </v>
      </c>
      <c r="BD195" s="32"/>
      <c r="BE195" s="32"/>
      <c r="BF195" s="53"/>
      <c r="BG195" s="21" t="str">
        <f>IFERROR(VLOOKUP(September[[#This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21" t="str">
        <f>IFERROR(VLOOKUP(September[[#This Row],[Drug Name]],'Data Options'!$R$1:$S$100,2,FALSE), " ")</f>
        <v xml:space="preserve"> </v>
      </c>
      <c r="R196" s="32"/>
      <c r="S196" s="32"/>
      <c r="T196" s="53"/>
      <c r="U196" s="21" t="str">
        <f>IFERROR(VLOOKUP(September[[#This Row],[Drug Name2]],'Data Options'!$R$1:$S$100,2,FALSE), " ")</f>
        <v xml:space="preserve"> </v>
      </c>
      <c r="V196" s="32"/>
      <c r="W196" s="32"/>
      <c r="X196" s="53"/>
      <c r="Y196" s="21" t="str">
        <f>IFERROR(VLOOKUP(September[[#This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21" t="str">
        <f>IFERROR(VLOOKUP(September[[#This Row],[Drug Name4]],'Data Options'!$R$1:$S$100,2,FALSE), " ")</f>
        <v xml:space="preserve"> </v>
      </c>
      <c r="AI196" s="32"/>
      <c r="AJ196" s="32"/>
      <c r="AK196" s="53"/>
      <c r="AL196" s="21" t="str">
        <f>IFERROR(VLOOKUP(September[[#This Row],[Drug Name5]],'Data Options'!$R$1:$S$100,2,FALSE), " ")</f>
        <v xml:space="preserve"> </v>
      </c>
      <c r="AM196" s="32"/>
      <c r="AN196" s="32"/>
      <c r="AO196" s="53"/>
      <c r="AP196" s="21" t="str">
        <f>IFERROR(VLOOKUP(September[[#This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21" t="str">
        <f>IFERROR(VLOOKUP(September[[#This Row],[Drug Name7]],'Data Options'!$R$1:$S$100,2,FALSE), " ")</f>
        <v xml:space="preserve"> </v>
      </c>
      <c r="AZ196" s="32"/>
      <c r="BA196" s="32"/>
      <c r="BB196" s="53"/>
      <c r="BC196" s="21" t="str">
        <f>IFERROR(VLOOKUP(September[[#This Row],[Drug Name8]],'Data Options'!$R$1:$S$100,2,FALSE), " ")</f>
        <v xml:space="preserve"> </v>
      </c>
      <c r="BD196" s="32"/>
      <c r="BE196" s="32"/>
      <c r="BF196" s="53"/>
      <c r="BG196" s="21" t="str">
        <f>IFERROR(VLOOKUP(September[[#This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21" t="str">
        <f>IFERROR(VLOOKUP(September[[#This Row],[Drug Name]],'Data Options'!$R$1:$S$100,2,FALSE), " ")</f>
        <v xml:space="preserve"> </v>
      </c>
      <c r="R197" s="32"/>
      <c r="S197" s="32"/>
      <c r="T197" s="53"/>
      <c r="U197" s="21" t="str">
        <f>IFERROR(VLOOKUP(September[[#This Row],[Drug Name2]],'Data Options'!$R$1:$S$100,2,FALSE), " ")</f>
        <v xml:space="preserve"> </v>
      </c>
      <c r="V197" s="32"/>
      <c r="W197" s="32"/>
      <c r="X197" s="53"/>
      <c r="Y197" s="21" t="str">
        <f>IFERROR(VLOOKUP(September[[#This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21" t="str">
        <f>IFERROR(VLOOKUP(September[[#This Row],[Drug Name4]],'Data Options'!$R$1:$S$100,2,FALSE), " ")</f>
        <v xml:space="preserve"> </v>
      </c>
      <c r="AI197" s="32"/>
      <c r="AJ197" s="32"/>
      <c r="AK197" s="53"/>
      <c r="AL197" s="21" t="str">
        <f>IFERROR(VLOOKUP(September[[#This Row],[Drug Name5]],'Data Options'!$R$1:$S$100,2,FALSE), " ")</f>
        <v xml:space="preserve"> </v>
      </c>
      <c r="AM197" s="32"/>
      <c r="AN197" s="32"/>
      <c r="AO197" s="53"/>
      <c r="AP197" s="21" t="str">
        <f>IFERROR(VLOOKUP(September[[#This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21" t="str">
        <f>IFERROR(VLOOKUP(September[[#This Row],[Drug Name7]],'Data Options'!$R$1:$S$100,2,FALSE), " ")</f>
        <v xml:space="preserve"> </v>
      </c>
      <c r="AZ197" s="32"/>
      <c r="BA197" s="32"/>
      <c r="BB197" s="53"/>
      <c r="BC197" s="21" t="str">
        <f>IFERROR(VLOOKUP(September[[#This Row],[Drug Name8]],'Data Options'!$R$1:$S$100,2,FALSE), " ")</f>
        <v xml:space="preserve"> </v>
      </c>
      <c r="BD197" s="32"/>
      <c r="BE197" s="32"/>
      <c r="BF197" s="53"/>
      <c r="BG197" s="21" t="str">
        <f>IFERROR(VLOOKUP(September[[#This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21" t="str">
        <f>IFERROR(VLOOKUP(September[[#This Row],[Drug Name]],'Data Options'!$R$1:$S$100,2,FALSE), " ")</f>
        <v xml:space="preserve"> </v>
      </c>
      <c r="R198" s="32"/>
      <c r="S198" s="32"/>
      <c r="T198" s="53"/>
      <c r="U198" s="21" t="str">
        <f>IFERROR(VLOOKUP(September[[#This Row],[Drug Name2]],'Data Options'!$R$1:$S$100,2,FALSE), " ")</f>
        <v xml:space="preserve"> </v>
      </c>
      <c r="V198" s="32"/>
      <c r="W198" s="32"/>
      <c r="X198" s="53"/>
      <c r="Y198" s="21" t="str">
        <f>IFERROR(VLOOKUP(September[[#This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21" t="str">
        <f>IFERROR(VLOOKUP(September[[#This Row],[Drug Name4]],'Data Options'!$R$1:$S$100,2,FALSE), " ")</f>
        <v xml:space="preserve"> </v>
      </c>
      <c r="AI198" s="32"/>
      <c r="AJ198" s="32"/>
      <c r="AK198" s="53"/>
      <c r="AL198" s="21" t="str">
        <f>IFERROR(VLOOKUP(September[[#This Row],[Drug Name5]],'Data Options'!$R$1:$S$100,2,FALSE), " ")</f>
        <v xml:space="preserve"> </v>
      </c>
      <c r="AM198" s="32"/>
      <c r="AN198" s="32"/>
      <c r="AO198" s="53"/>
      <c r="AP198" s="21" t="str">
        <f>IFERROR(VLOOKUP(September[[#This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21" t="str">
        <f>IFERROR(VLOOKUP(September[[#This Row],[Drug Name7]],'Data Options'!$R$1:$S$100,2,FALSE), " ")</f>
        <v xml:space="preserve"> </v>
      </c>
      <c r="AZ198" s="32"/>
      <c r="BA198" s="32"/>
      <c r="BB198" s="53"/>
      <c r="BC198" s="21" t="str">
        <f>IFERROR(VLOOKUP(September[[#This Row],[Drug Name8]],'Data Options'!$R$1:$S$100,2,FALSE), " ")</f>
        <v xml:space="preserve"> </v>
      </c>
      <c r="BD198" s="32"/>
      <c r="BE198" s="32"/>
      <c r="BF198" s="53"/>
      <c r="BG198" s="21" t="str">
        <f>IFERROR(VLOOKUP(September[[#This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21" t="str">
        <f>IFERROR(VLOOKUP(September[[#This Row],[Drug Name]],'Data Options'!$R$1:$S$100,2,FALSE), " ")</f>
        <v xml:space="preserve"> </v>
      </c>
      <c r="R199" s="32"/>
      <c r="S199" s="32"/>
      <c r="T199" s="53"/>
      <c r="U199" s="21" t="str">
        <f>IFERROR(VLOOKUP(September[[#This Row],[Drug Name2]],'Data Options'!$R$1:$S$100,2,FALSE), " ")</f>
        <v xml:space="preserve"> </v>
      </c>
      <c r="V199" s="32"/>
      <c r="W199" s="32"/>
      <c r="X199" s="53"/>
      <c r="Y199" s="21" t="str">
        <f>IFERROR(VLOOKUP(September[[#This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21" t="str">
        <f>IFERROR(VLOOKUP(September[[#This Row],[Drug Name4]],'Data Options'!$R$1:$S$100,2,FALSE), " ")</f>
        <v xml:space="preserve"> </v>
      </c>
      <c r="AI199" s="32"/>
      <c r="AJ199" s="32"/>
      <c r="AK199" s="53"/>
      <c r="AL199" s="21" t="str">
        <f>IFERROR(VLOOKUP(September[[#This Row],[Drug Name5]],'Data Options'!$R$1:$S$100,2,FALSE), " ")</f>
        <v xml:space="preserve"> </v>
      </c>
      <c r="AM199" s="32"/>
      <c r="AN199" s="32"/>
      <c r="AO199" s="53"/>
      <c r="AP199" s="21" t="str">
        <f>IFERROR(VLOOKUP(September[[#This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21" t="str">
        <f>IFERROR(VLOOKUP(September[[#This Row],[Drug Name7]],'Data Options'!$R$1:$S$100,2,FALSE), " ")</f>
        <v xml:space="preserve"> </v>
      </c>
      <c r="AZ199" s="32"/>
      <c r="BA199" s="32"/>
      <c r="BB199" s="53"/>
      <c r="BC199" s="21" t="str">
        <f>IFERROR(VLOOKUP(September[[#This Row],[Drug Name8]],'Data Options'!$R$1:$S$100,2,FALSE), " ")</f>
        <v xml:space="preserve"> </v>
      </c>
      <c r="BD199" s="32"/>
      <c r="BE199" s="32"/>
      <c r="BF199" s="53"/>
      <c r="BG199" s="21" t="str">
        <f>IFERROR(VLOOKUP(September[[#This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21" t="str">
        <f>IFERROR(VLOOKUP(September[[#This Row],[Drug Name]],'Data Options'!$R$1:$S$100,2,FALSE), " ")</f>
        <v xml:space="preserve"> </v>
      </c>
      <c r="R200" s="32"/>
      <c r="S200" s="32"/>
      <c r="T200" s="53"/>
      <c r="U200" s="21" t="str">
        <f>IFERROR(VLOOKUP(September[[#This Row],[Drug Name2]],'Data Options'!$R$1:$S$100,2,FALSE), " ")</f>
        <v xml:space="preserve"> </v>
      </c>
      <c r="V200" s="32"/>
      <c r="W200" s="32"/>
      <c r="X200" s="53"/>
      <c r="Y200" s="21" t="str">
        <f>IFERROR(VLOOKUP(September[[#This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21" t="str">
        <f>IFERROR(VLOOKUP(September[[#This Row],[Drug Name4]],'Data Options'!$R$1:$S$100,2,FALSE), " ")</f>
        <v xml:space="preserve"> </v>
      </c>
      <c r="AI200" s="32"/>
      <c r="AJ200" s="32"/>
      <c r="AK200" s="53"/>
      <c r="AL200" s="21" t="str">
        <f>IFERROR(VLOOKUP(September[[#This Row],[Drug Name5]],'Data Options'!$R$1:$S$100,2,FALSE), " ")</f>
        <v xml:space="preserve"> </v>
      </c>
      <c r="AM200" s="32"/>
      <c r="AN200" s="32"/>
      <c r="AO200" s="53"/>
      <c r="AP200" s="21" t="str">
        <f>IFERROR(VLOOKUP(September[[#This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21" t="str">
        <f>IFERROR(VLOOKUP(September[[#This Row],[Drug Name7]],'Data Options'!$R$1:$S$100,2,FALSE), " ")</f>
        <v xml:space="preserve"> </v>
      </c>
      <c r="AZ200" s="32"/>
      <c r="BA200" s="32"/>
      <c r="BB200" s="53"/>
      <c r="BC200" s="21" t="str">
        <f>IFERROR(VLOOKUP(September[[#This Row],[Drug Name8]],'Data Options'!$R$1:$S$100,2,FALSE), " ")</f>
        <v xml:space="preserve"> </v>
      </c>
      <c r="BD200" s="32"/>
      <c r="BE200" s="32"/>
      <c r="BF200" s="53"/>
      <c r="BG200" s="21" t="str">
        <f>IFERROR(VLOOKUP(September[[#This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21" t="str">
        <f>IFERROR(VLOOKUP(September[[#This Row],[Drug Name]],'Data Options'!$R$1:$S$100,2,FALSE), " ")</f>
        <v xml:space="preserve"> </v>
      </c>
      <c r="R201" s="32"/>
      <c r="S201" s="32"/>
      <c r="T201" s="53"/>
      <c r="U201" s="21" t="str">
        <f>IFERROR(VLOOKUP(September[[#This Row],[Drug Name2]],'Data Options'!$R$1:$S$100,2,FALSE), " ")</f>
        <v xml:space="preserve"> </v>
      </c>
      <c r="V201" s="32"/>
      <c r="W201" s="32"/>
      <c r="X201" s="53"/>
      <c r="Y201" s="21" t="str">
        <f>IFERROR(VLOOKUP(September[[#This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21" t="str">
        <f>IFERROR(VLOOKUP(September[[#This Row],[Drug Name4]],'Data Options'!$R$1:$S$100,2,FALSE), " ")</f>
        <v xml:space="preserve"> </v>
      </c>
      <c r="AI201" s="32"/>
      <c r="AJ201" s="32"/>
      <c r="AK201" s="53"/>
      <c r="AL201" s="21" t="str">
        <f>IFERROR(VLOOKUP(September[[#This Row],[Drug Name5]],'Data Options'!$R$1:$S$100,2,FALSE), " ")</f>
        <v xml:space="preserve"> </v>
      </c>
      <c r="AM201" s="32"/>
      <c r="AN201" s="32"/>
      <c r="AO201" s="53"/>
      <c r="AP201" s="21" t="str">
        <f>IFERROR(VLOOKUP(September[[#This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21" t="str">
        <f>IFERROR(VLOOKUP(September[[#This Row],[Drug Name7]],'Data Options'!$R$1:$S$100,2,FALSE), " ")</f>
        <v xml:space="preserve"> </v>
      </c>
      <c r="AZ201" s="32"/>
      <c r="BA201" s="32"/>
      <c r="BB201" s="53"/>
      <c r="BC201" s="21" t="str">
        <f>IFERROR(VLOOKUP(September[[#This Row],[Drug Name8]],'Data Options'!$R$1:$S$100,2,FALSE), " ")</f>
        <v xml:space="preserve"> </v>
      </c>
      <c r="BD201" s="32"/>
      <c r="BE201" s="32"/>
      <c r="BF201" s="53"/>
      <c r="BG201" s="21" t="str">
        <f>IFERROR(VLOOKUP(September[[#This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BCSNPctZgl7vx3oB6hxoYBHRK67ATuYSOTagCcSaRmDlbb/bub5flD/5Q0h4nkVAY3fW+87b6dieTrbSuJZ9UA==" saltValue="Z+OcbU9by8h6j/jcP4OrgQ==" spinCount="100000" sheet="1" objects="1" scenarios="1"/>
  <mergeCells count="13">
    <mergeCell ref="AG2:AJ2"/>
    <mergeCell ref="AX2:BA2"/>
    <mergeCell ref="BB2:BE2"/>
    <mergeCell ref="BF2:BI2"/>
    <mergeCell ref="AB1:AF2"/>
    <mergeCell ref="AS1:AW2"/>
    <mergeCell ref="AO2:AR2"/>
    <mergeCell ref="A1:J2"/>
    <mergeCell ref="K1:Y1"/>
    <mergeCell ref="K2:O2"/>
    <mergeCell ref="P2:S2"/>
    <mergeCell ref="T2:W2"/>
    <mergeCell ref="X2:AA2"/>
  </mergeCells>
  <phoneticPr fontId="5" type="noConversion"/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workbookViewId="0">
      <selection activeCell="E11" sqref="E11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44105</v>
      </c>
      <c r="B4" s="52" t="s">
        <v>314</v>
      </c>
      <c r="C4" s="32">
        <v>20091</v>
      </c>
      <c r="D4" s="32" t="s">
        <v>12</v>
      </c>
      <c r="E4" s="32" t="s">
        <v>17</v>
      </c>
      <c r="F4" s="32" t="s">
        <v>220</v>
      </c>
      <c r="G4" s="32" t="s">
        <v>18</v>
      </c>
      <c r="H4" s="32"/>
      <c r="I4" s="32" t="s">
        <v>23</v>
      </c>
      <c r="J4" s="32">
        <v>0</v>
      </c>
      <c r="K4" s="32" t="s">
        <v>100</v>
      </c>
      <c r="L4" s="32"/>
      <c r="M4" s="32"/>
      <c r="N4" s="31"/>
      <c r="O4" s="31"/>
      <c r="P4" s="53"/>
      <c r="Q4" s="21" t="str">
        <f>IFERROR(VLOOKUP(October[[#This Row],[Drug Name]],'Data Options'!$R$1:$S$100,2,FALSE), " ")</f>
        <v xml:space="preserve"> </v>
      </c>
      <c r="R4" s="32"/>
      <c r="S4" s="32"/>
      <c r="T4" s="53"/>
      <c r="U4" s="21" t="str">
        <f>IFERROR(VLOOKUP(October[[#This Row],[Drug Name2]],'Data Options'!$R$1:$S$100,2,FALSE), " ")</f>
        <v xml:space="preserve"> </v>
      </c>
      <c r="V4" s="32"/>
      <c r="W4" s="32"/>
      <c r="X4" s="53"/>
      <c r="Y4" s="21" t="str">
        <f>IFERROR(VLOOKUP(October[[#This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21" t="str">
        <f>IFERROR(VLOOKUP(October[[#This Row],[Drug Name4]],'Data Options'!$R$1:$S$100,2,FALSE), " ")</f>
        <v xml:space="preserve"> </v>
      </c>
      <c r="AI4" s="32"/>
      <c r="AJ4" s="32"/>
      <c r="AK4" s="53"/>
      <c r="AL4" s="21" t="str">
        <f>IFERROR(VLOOKUP(October[[#This Row],[Drug Name5]],'Data Options'!$R$1:$S$100,2,FALSE), " ")</f>
        <v xml:space="preserve"> </v>
      </c>
      <c r="AM4" s="32"/>
      <c r="AN4" s="32"/>
      <c r="AO4" s="53"/>
      <c r="AP4" s="21" t="str">
        <f>IFERROR(VLOOKUP(October[[#This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21" t="str">
        <f>IFERROR(VLOOKUP(October[[#This Row],[Drug Name7]],'Data Options'!$R$1:$S$100,2,FALSE), " ")</f>
        <v xml:space="preserve"> </v>
      </c>
      <c r="AZ4" s="32"/>
      <c r="BA4" s="32"/>
      <c r="BB4" s="53"/>
      <c r="BC4" s="21" t="str">
        <f>IFERROR(VLOOKUP(October[[#This Row],[Drug Name8]],'Data Options'!$R$1:$S$100,2,FALSE), " ")</f>
        <v xml:space="preserve"> </v>
      </c>
      <c r="BD4" s="32"/>
      <c r="BE4" s="32"/>
      <c r="BF4" s="53"/>
      <c r="BG4" s="21" t="str">
        <f>IFERROR(VLOOKUP(October[[#This Row],[Drug Name9]],'Data Options'!$R$1:$S$100,2,FALSE), " ")</f>
        <v xml:space="preserve"> </v>
      </c>
      <c r="BH4" s="32"/>
      <c r="BI4" s="32"/>
    </row>
    <row r="5" spans="1:61">
      <c r="A5" s="51">
        <v>44106</v>
      </c>
      <c r="B5" s="52" t="s">
        <v>314</v>
      </c>
      <c r="C5" s="32">
        <v>20092</v>
      </c>
      <c r="D5" s="32" t="s">
        <v>13</v>
      </c>
      <c r="E5" s="32" t="s">
        <v>17</v>
      </c>
      <c r="F5" s="32" t="s">
        <v>218</v>
      </c>
      <c r="G5" s="32" t="s">
        <v>149</v>
      </c>
      <c r="H5" s="32"/>
      <c r="I5" s="32" t="s">
        <v>22</v>
      </c>
      <c r="J5" s="32">
        <v>1</v>
      </c>
      <c r="K5" s="32" t="s">
        <v>90</v>
      </c>
      <c r="L5" s="32"/>
      <c r="M5" s="32">
        <v>1</v>
      </c>
      <c r="N5" s="31" t="s">
        <v>23</v>
      </c>
      <c r="O5" s="31" t="s">
        <v>23</v>
      </c>
      <c r="P5" s="53" t="s">
        <v>26</v>
      </c>
      <c r="Q5" s="21" t="str">
        <f>IFERROR(VLOOKUP(October[[#This Row],[Drug Name]],'Data Options'!$R$1:$S$100,2,FALSE), " ")</f>
        <v>Penicillins</v>
      </c>
      <c r="R5" s="32" t="s">
        <v>92</v>
      </c>
      <c r="S5" s="32" t="s">
        <v>89</v>
      </c>
      <c r="T5" s="53"/>
      <c r="U5" s="21" t="str">
        <f>IFERROR(VLOOKUP(October[[#This Row],[Drug Name2]],'Data Options'!$R$1:$S$100,2,FALSE), " ")</f>
        <v xml:space="preserve"> </v>
      </c>
      <c r="V5" s="32"/>
      <c r="W5" s="32"/>
      <c r="X5" s="53"/>
      <c r="Y5" s="21" t="str">
        <f>IFERROR(VLOOKUP(October[[#This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21" t="str">
        <f>IFERROR(VLOOKUP(October[[#This Row],[Drug Name4]],'Data Options'!$R$1:$S$100,2,FALSE), " ")</f>
        <v xml:space="preserve"> </v>
      </c>
      <c r="AI5" s="32"/>
      <c r="AJ5" s="32"/>
      <c r="AK5" s="53"/>
      <c r="AL5" s="21" t="str">
        <f>IFERROR(VLOOKUP(October[[#This Row],[Drug Name5]],'Data Options'!$R$1:$S$100,2,FALSE), " ")</f>
        <v xml:space="preserve"> </v>
      </c>
      <c r="AM5" s="32"/>
      <c r="AN5" s="32"/>
      <c r="AO5" s="53"/>
      <c r="AP5" s="21" t="str">
        <f>IFERROR(VLOOKUP(October[[#This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21" t="str">
        <f>IFERROR(VLOOKUP(October[[#This Row],[Drug Name7]],'Data Options'!$R$1:$S$100,2,FALSE), " ")</f>
        <v xml:space="preserve"> </v>
      </c>
      <c r="AZ5" s="32"/>
      <c r="BA5" s="32"/>
      <c r="BB5" s="53"/>
      <c r="BC5" s="21" t="str">
        <f>IFERROR(VLOOKUP(October[[#This Row],[Drug Name8]],'Data Options'!$R$1:$S$100,2,FALSE), " ")</f>
        <v xml:space="preserve"> </v>
      </c>
      <c r="BD5" s="32"/>
      <c r="BE5" s="32"/>
      <c r="BF5" s="53"/>
      <c r="BG5" s="21" t="str">
        <f>IFERROR(VLOOKUP(October[[#This Row],[Drug Name9]],'Data Options'!$R$1:$S$100,2,FALSE), " ")</f>
        <v xml:space="preserve"> </v>
      </c>
      <c r="BH5" s="32"/>
      <c r="BI5" s="32"/>
    </row>
    <row r="6" spans="1:61">
      <c r="A6" s="51">
        <v>44107</v>
      </c>
      <c r="B6" s="52" t="s">
        <v>314</v>
      </c>
      <c r="C6" s="32">
        <v>20093</v>
      </c>
      <c r="D6" s="32" t="s">
        <v>12</v>
      </c>
      <c r="E6" s="32" t="s">
        <v>15</v>
      </c>
      <c r="F6" s="32" t="s">
        <v>221</v>
      </c>
      <c r="G6" s="32" t="s">
        <v>18</v>
      </c>
      <c r="H6" s="32"/>
      <c r="I6" s="32" t="s">
        <v>23</v>
      </c>
      <c r="J6" s="32">
        <v>0</v>
      </c>
      <c r="K6" s="32" t="s">
        <v>100</v>
      </c>
      <c r="L6" s="32"/>
      <c r="M6" s="32"/>
      <c r="N6" s="31"/>
      <c r="O6" s="31"/>
      <c r="P6" s="53"/>
      <c r="Q6" s="21" t="str">
        <f>IFERROR(VLOOKUP(October[[#This Row],[Drug Name]],'Data Options'!$R$1:$S$100,2,FALSE), " ")</f>
        <v xml:space="preserve"> </v>
      </c>
      <c r="R6" s="32"/>
      <c r="S6" s="32"/>
      <c r="T6" s="53"/>
      <c r="U6" s="21" t="str">
        <f>IFERROR(VLOOKUP(October[[#This Row],[Drug Name2]],'Data Options'!$R$1:$S$100,2,FALSE), " ")</f>
        <v xml:space="preserve"> </v>
      </c>
      <c r="V6" s="32"/>
      <c r="W6" s="32"/>
      <c r="X6" s="53"/>
      <c r="Y6" s="21" t="str">
        <f>IFERROR(VLOOKUP(October[[#This Row],[Drug Name3]],'Data Options'!$R$1:$S$100,2,FALSE), " ")</f>
        <v xml:space="preserve"> </v>
      </c>
      <c r="Z6" s="32"/>
      <c r="AA6" s="32"/>
      <c r="AB6" s="32"/>
      <c r="AC6" s="32"/>
      <c r="AD6" s="32"/>
      <c r="AE6" s="31"/>
      <c r="AF6" s="31"/>
      <c r="AG6" s="53"/>
      <c r="AH6" s="21" t="str">
        <f>IFERROR(VLOOKUP(October[[#This Row],[Drug Name4]],'Data Options'!$R$1:$S$100,2,FALSE), " ")</f>
        <v xml:space="preserve"> </v>
      </c>
      <c r="AI6" s="32"/>
      <c r="AJ6" s="32"/>
      <c r="AK6" s="53"/>
      <c r="AL6" s="21" t="str">
        <f>IFERROR(VLOOKUP(October[[#This Row],[Drug Name5]],'Data Options'!$R$1:$S$100,2,FALSE), " ")</f>
        <v xml:space="preserve"> </v>
      </c>
      <c r="AM6" s="32"/>
      <c r="AN6" s="32"/>
      <c r="AO6" s="53"/>
      <c r="AP6" s="21" t="str">
        <f>IFERROR(VLOOKUP(October[[#This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21" t="str">
        <f>IFERROR(VLOOKUP(October[[#This Row],[Drug Name7]],'Data Options'!$R$1:$S$100,2,FALSE), " ")</f>
        <v xml:space="preserve"> </v>
      </c>
      <c r="AZ6" s="32"/>
      <c r="BA6" s="32"/>
      <c r="BB6" s="53"/>
      <c r="BC6" s="21" t="str">
        <f>IFERROR(VLOOKUP(October[[#This Row],[Drug Name8]],'Data Options'!$R$1:$S$100,2,FALSE), " ")</f>
        <v xml:space="preserve"> </v>
      </c>
      <c r="BD6" s="32"/>
      <c r="BE6" s="32"/>
      <c r="BF6" s="53"/>
      <c r="BG6" s="21" t="str">
        <f>IFERROR(VLOOKUP(October[[#This Row],[Drug Name9]],'Data Options'!$R$1:$S$100,2,FALSE), " ")</f>
        <v xml:space="preserve"> </v>
      </c>
      <c r="BH6" s="32"/>
      <c r="BI6" s="32"/>
    </row>
    <row r="7" spans="1:61">
      <c r="A7" s="51">
        <v>44108</v>
      </c>
      <c r="B7" s="52" t="s">
        <v>314</v>
      </c>
      <c r="C7" s="32">
        <v>20094</v>
      </c>
      <c r="D7" s="32" t="s">
        <v>13</v>
      </c>
      <c r="E7" s="32" t="s">
        <v>15</v>
      </c>
      <c r="F7" s="32" t="s">
        <v>219</v>
      </c>
      <c r="G7" s="32" t="s">
        <v>20</v>
      </c>
      <c r="H7" s="32"/>
      <c r="I7" s="32" t="s">
        <v>23</v>
      </c>
      <c r="J7" s="32">
        <v>0</v>
      </c>
      <c r="K7" s="32" t="s">
        <v>224</v>
      </c>
      <c r="L7" s="32"/>
      <c r="M7" s="32"/>
      <c r="N7" s="31"/>
      <c r="O7" s="31"/>
      <c r="P7" s="53"/>
      <c r="Q7" s="21" t="str">
        <f>IFERROR(VLOOKUP(October[[#This Row],[Drug Name]],'Data Options'!$R$1:$S$100,2,FALSE), " ")</f>
        <v xml:space="preserve"> </v>
      </c>
      <c r="R7" s="32"/>
      <c r="S7" s="32"/>
      <c r="T7" s="53"/>
      <c r="U7" s="21" t="str">
        <f>IFERROR(VLOOKUP(October[[#This Row],[Drug Name2]],'Data Options'!$R$1:$S$100,2,FALSE), " ")</f>
        <v xml:space="preserve"> </v>
      </c>
      <c r="V7" s="32"/>
      <c r="W7" s="32"/>
      <c r="X7" s="53"/>
      <c r="Y7" s="21" t="str">
        <f>IFERROR(VLOOKUP(October[[#This Row],[Drug Name3]],'Data Options'!$R$1:$S$100,2,FALSE), " ")</f>
        <v xml:space="preserve"> </v>
      </c>
      <c r="Z7" s="32"/>
      <c r="AA7" s="32"/>
      <c r="AB7" s="32"/>
      <c r="AC7" s="32"/>
      <c r="AD7" s="32"/>
      <c r="AE7" s="31"/>
      <c r="AF7" s="31"/>
      <c r="AG7" s="53"/>
      <c r="AH7" s="21" t="str">
        <f>IFERROR(VLOOKUP(October[[#This Row],[Drug Name4]],'Data Options'!$R$1:$S$100,2,FALSE), " ")</f>
        <v xml:space="preserve"> </v>
      </c>
      <c r="AI7" s="32"/>
      <c r="AJ7" s="32"/>
      <c r="AK7" s="53"/>
      <c r="AL7" s="21" t="str">
        <f>IFERROR(VLOOKUP(October[[#This Row],[Drug Name5]],'Data Options'!$R$1:$S$100,2,FALSE), " ")</f>
        <v xml:space="preserve"> </v>
      </c>
      <c r="AM7" s="32"/>
      <c r="AN7" s="32"/>
      <c r="AO7" s="53"/>
      <c r="AP7" s="21" t="str">
        <f>IFERROR(VLOOKUP(October[[#This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21" t="str">
        <f>IFERROR(VLOOKUP(October[[#This Row],[Drug Name7]],'Data Options'!$R$1:$S$100,2,FALSE), " ")</f>
        <v xml:space="preserve"> </v>
      </c>
      <c r="AZ7" s="32"/>
      <c r="BA7" s="32"/>
      <c r="BB7" s="53"/>
      <c r="BC7" s="21" t="str">
        <f>IFERROR(VLOOKUP(October[[#This Row],[Drug Name8]],'Data Options'!$R$1:$S$100,2,FALSE), " ")</f>
        <v xml:space="preserve"> </v>
      </c>
      <c r="BD7" s="32"/>
      <c r="BE7" s="32"/>
      <c r="BF7" s="53"/>
      <c r="BG7" s="21" t="str">
        <f>IFERROR(VLOOKUP(October[[#This Row],[Drug Name9]],'Data Options'!$R$1:$S$100,2,FALSE), " ")</f>
        <v xml:space="preserve"> </v>
      </c>
      <c r="BH7" s="32"/>
      <c r="BI7" s="32"/>
    </row>
    <row r="8" spans="1:61" ht="46.5">
      <c r="A8" s="51">
        <v>44109</v>
      </c>
      <c r="B8" s="52" t="s">
        <v>314</v>
      </c>
      <c r="C8" s="32">
        <v>20095</v>
      </c>
      <c r="D8" s="32" t="s">
        <v>12</v>
      </c>
      <c r="E8" s="32" t="s">
        <v>14</v>
      </c>
      <c r="F8" s="32" t="s">
        <v>220</v>
      </c>
      <c r="G8" s="32" t="s">
        <v>20</v>
      </c>
      <c r="H8" s="32"/>
      <c r="I8" s="32" t="s">
        <v>22</v>
      </c>
      <c r="J8" s="32">
        <v>1</v>
      </c>
      <c r="K8" s="32" t="s">
        <v>278</v>
      </c>
      <c r="L8" s="32"/>
      <c r="M8" s="32">
        <v>1</v>
      </c>
      <c r="N8" s="31" t="s">
        <v>22</v>
      </c>
      <c r="O8" s="31" t="s">
        <v>23</v>
      </c>
      <c r="P8" s="53" t="s">
        <v>239</v>
      </c>
      <c r="Q8" s="21" t="str">
        <f>IFERROR(VLOOKUP(October[[#This Row],[Drug Name]],'Data Options'!$R$1:$S$100,2,FALSE), " ")</f>
        <v>B-lactam/B-lactamase inhibitor combination</v>
      </c>
      <c r="R8" s="32" t="s">
        <v>92</v>
      </c>
      <c r="S8" s="32" t="s">
        <v>96</v>
      </c>
      <c r="T8" s="53"/>
      <c r="U8" s="21" t="str">
        <f>IFERROR(VLOOKUP(October[[#This Row],[Drug Name2]],'Data Options'!$R$1:$S$100,2,FALSE), " ")</f>
        <v xml:space="preserve"> </v>
      </c>
      <c r="V8" s="32"/>
      <c r="W8" s="32"/>
      <c r="X8" s="53"/>
      <c r="Y8" s="21" t="str">
        <f>IFERROR(VLOOKUP(October[[#This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21" t="str">
        <f>IFERROR(VLOOKUP(October[[#This Row],[Drug Name4]],'Data Options'!$R$1:$S$100,2,FALSE), " ")</f>
        <v xml:space="preserve"> </v>
      </c>
      <c r="AI8" s="32"/>
      <c r="AJ8" s="32"/>
      <c r="AK8" s="53"/>
      <c r="AL8" s="21" t="str">
        <f>IFERROR(VLOOKUP(October[[#This Row],[Drug Name5]],'Data Options'!$R$1:$S$100,2,FALSE), " ")</f>
        <v xml:space="preserve"> </v>
      </c>
      <c r="AM8" s="32"/>
      <c r="AN8" s="32"/>
      <c r="AO8" s="53"/>
      <c r="AP8" s="21" t="str">
        <f>IFERROR(VLOOKUP(October[[#This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21" t="str">
        <f>IFERROR(VLOOKUP(October[[#This Row],[Drug Name7]],'Data Options'!$R$1:$S$100,2,FALSE), " ")</f>
        <v xml:space="preserve"> </v>
      </c>
      <c r="AZ8" s="32"/>
      <c r="BA8" s="32"/>
      <c r="BB8" s="53"/>
      <c r="BC8" s="21" t="str">
        <f>IFERROR(VLOOKUP(October[[#This Row],[Drug Name8]],'Data Options'!$R$1:$S$100,2,FALSE), " ")</f>
        <v xml:space="preserve"> </v>
      </c>
      <c r="BD8" s="32"/>
      <c r="BE8" s="32"/>
      <c r="BF8" s="53"/>
      <c r="BG8" s="21" t="str">
        <f>IFERROR(VLOOKUP(October[[#This Row],[Drug Name9]],'Data Options'!$R$1:$S$100,2,FALSE), " ")</f>
        <v xml:space="preserve"> </v>
      </c>
      <c r="BH8" s="32"/>
      <c r="BI8" s="32"/>
    </row>
    <row r="9" spans="1:61">
      <c r="A9" s="51">
        <v>44110</v>
      </c>
      <c r="B9" s="52" t="s">
        <v>314</v>
      </c>
      <c r="C9" s="32">
        <v>20096</v>
      </c>
      <c r="D9" s="32" t="s">
        <v>13</v>
      </c>
      <c r="E9" s="32" t="s">
        <v>17</v>
      </c>
      <c r="F9" s="32" t="s">
        <v>123</v>
      </c>
      <c r="G9" s="32" t="s">
        <v>20</v>
      </c>
      <c r="H9" s="32"/>
      <c r="I9" s="32" t="s">
        <v>23</v>
      </c>
      <c r="J9" s="32">
        <v>0</v>
      </c>
      <c r="K9" s="32" t="s">
        <v>21</v>
      </c>
      <c r="L9" s="32" t="s">
        <v>319</v>
      </c>
      <c r="M9" s="32"/>
      <c r="N9" s="31"/>
      <c r="O9" s="31"/>
      <c r="P9" s="53"/>
      <c r="Q9" s="21" t="str">
        <f>IFERROR(VLOOKUP(October[[#This Row],[Drug Name]],'Data Options'!$R$1:$S$100,2,FALSE), " ")</f>
        <v xml:space="preserve"> </v>
      </c>
      <c r="R9" s="32"/>
      <c r="S9" s="32"/>
      <c r="T9" s="53"/>
      <c r="U9" s="21" t="str">
        <f>IFERROR(VLOOKUP(October[[#This Row],[Drug Name2]],'Data Options'!$R$1:$S$100,2,FALSE), " ")</f>
        <v xml:space="preserve"> </v>
      </c>
      <c r="V9" s="32"/>
      <c r="W9" s="32"/>
      <c r="X9" s="53"/>
      <c r="Y9" s="21" t="str">
        <f>IFERROR(VLOOKUP(October[[#This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21" t="str">
        <f>IFERROR(VLOOKUP(October[[#This Row],[Drug Name4]],'Data Options'!$R$1:$S$100,2,FALSE), " ")</f>
        <v xml:space="preserve"> </v>
      </c>
      <c r="AI9" s="32"/>
      <c r="AJ9" s="32"/>
      <c r="AK9" s="53"/>
      <c r="AL9" s="21" t="str">
        <f>IFERROR(VLOOKUP(October[[#This Row],[Drug Name5]],'Data Options'!$R$1:$S$100,2,FALSE), " ")</f>
        <v xml:space="preserve"> </v>
      </c>
      <c r="AM9" s="32"/>
      <c r="AN9" s="32"/>
      <c r="AO9" s="53"/>
      <c r="AP9" s="21" t="str">
        <f>IFERROR(VLOOKUP(October[[#This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21" t="str">
        <f>IFERROR(VLOOKUP(October[[#This Row],[Drug Name7]],'Data Options'!$R$1:$S$100,2,FALSE), " ")</f>
        <v xml:space="preserve"> </v>
      </c>
      <c r="AZ9" s="32"/>
      <c r="BA9" s="32"/>
      <c r="BB9" s="53"/>
      <c r="BC9" s="21" t="str">
        <f>IFERROR(VLOOKUP(October[[#This Row],[Drug Name8]],'Data Options'!$R$1:$S$100,2,FALSE), " ")</f>
        <v xml:space="preserve"> </v>
      </c>
      <c r="BD9" s="32"/>
      <c r="BE9" s="32"/>
      <c r="BF9" s="53"/>
      <c r="BG9" s="21" t="str">
        <f>IFERROR(VLOOKUP(October[[#This Row],[Drug Name9]],'Data Options'!$R$1:$S$100,2,FALSE), " ")</f>
        <v xml:space="preserve"> </v>
      </c>
      <c r="BH9" s="32"/>
      <c r="BI9" s="32"/>
    </row>
    <row r="10" spans="1:61">
      <c r="A10" s="51">
        <v>44111</v>
      </c>
      <c r="B10" s="52" t="s">
        <v>314</v>
      </c>
      <c r="C10" s="32">
        <v>20097</v>
      </c>
      <c r="D10" s="32" t="s">
        <v>12</v>
      </c>
      <c r="E10" s="32" t="s">
        <v>15</v>
      </c>
      <c r="F10" s="32" t="s">
        <v>221</v>
      </c>
      <c r="G10" s="32" t="s">
        <v>18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1"/>
      <c r="O10" s="31"/>
      <c r="P10" s="53"/>
      <c r="Q10" s="21" t="str">
        <f>IFERROR(VLOOKUP(October[[#This Row],[Drug Name]],'Data Options'!$R$1:$S$100,2,FALSE), " ")</f>
        <v xml:space="preserve"> </v>
      </c>
      <c r="R10" s="32"/>
      <c r="S10" s="32"/>
      <c r="T10" s="53"/>
      <c r="U10" s="21" t="str">
        <f>IFERROR(VLOOKUP(October[[#This Row],[Drug Name2]],'Data Options'!$R$1:$S$100,2,FALSE), " ")</f>
        <v xml:space="preserve"> </v>
      </c>
      <c r="V10" s="32"/>
      <c r="W10" s="32"/>
      <c r="X10" s="53"/>
      <c r="Y10" s="21" t="str">
        <f>IFERROR(VLOOKUP(October[[#This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21" t="str">
        <f>IFERROR(VLOOKUP(October[[#This Row],[Drug Name4]],'Data Options'!$R$1:$S$100,2,FALSE), " ")</f>
        <v xml:space="preserve"> </v>
      </c>
      <c r="AI10" s="32"/>
      <c r="AJ10" s="32"/>
      <c r="AK10" s="53"/>
      <c r="AL10" s="21" t="str">
        <f>IFERROR(VLOOKUP(October[[#This Row],[Drug Name5]],'Data Options'!$R$1:$S$100,2,FALSE), " ")</f>
        <v xml:space="preserve"> </v>
      </c>
      <c r="AM10" s="32"/>
      <c r="AN10" s="32"/>
      <c r="AO10" s="53"/>
      <c r="AP10" s="21" t="str">
        <f>IFERROR(VLOOKUP(October[[#This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21" t="str">
        <f>IFERROR(VLOOKUP(October[[#This Row],[Drug Name7]],'Data Options'!$R$1:$S$100,2,FALSE), " ")</f>
        <v xml:space="preserve"> </v>
      </c>
      <c r="AZ10" s="32"/>
      <c r="BA10" s="32"/>
      <c r="BB10" s="53"/>
      <c r="BC10" s="21" t="str">
        <f>IFERROR(VLOOKUP(October[[#This Row],[Drug Name8]],'Data Options'!$R$1:$S$100,2,FALSE), " ")</f>
        <v xml:space="preserve"> </v>
      </c>
      <c r="BD10" s="32"/>
      <c r="BE10" s="32"/>
      <c r="BF10" s="53"/>
      <c r="BG10" s="21" t="str">
        <f>IFERROR(VLOOKUP(October[[#This Row],[Drug Name9]],'Data Options'!$R$1:$S$100,2,FALSE), " ")</f>
        <v xml:space="preserve"> </v>
      </c>
      <c r="BH10" s="32"/>
      <c r="BI10" s="32"/>
    </row>
    <row r="11" spans="1:61" ht="31">
      <c r="A11" s="51">
        <v>44112</v>
      </c>
      <c r="B11" s="52" t="s">
        <v>314</v>
      </c>
      <c r="C11" s="32">
        <v>20098</v>
      </c>
      <c r="D11" s="32" t="s">
        <v>13</v>
      </c>
      <c r="E11" s="32" t="s">
        <v>17</v>
      </c>
      <c r="F11" s="32" t="s">
        <v>219</v>
      </c>
      <c r="G11" s="32" t="s">
        <v>20</v>
      </c>
      <c r="H11" s="32"/>
      <c r="I11" s="32" t="s">
        <v>22</v>
      </c>
      <c r="J11" s="32">
        <v>1</v>
      </c>
      <c r="K11" s="32" t="s">
        <v>223</v>
      </c>
      <c r="L11" s="32"/>
      <c r="M11" s="32">
        <v>1</v>
      </c>
      <c r="N11" s="31" t="s">
        <v>23</v>
      </c>
      <c r="O11" s="31" t="s">
        <v>23</v>
      </c>
      <c r="P11" s="53" t="s">
        <v>251</v>
      </c>
      <c r="Q11" s="21" t="str">
        <f>IFERROR(VLOOKUP(October[[#This Row],[Drug Name]],'Data Options'!$R$1:$S$100,2,FALSE), " ")</f>
        <v>Ophthalmic</v>
      </c>
      <c r="R11" s="32" t="s">
        <v>120</v>
      </c>
      <c r="S11" s="32" t="s">
        <v>98</v>
      </c>
      <c r="T11" s="53"/>
      <c r="U11" s="21" t="str">
        <f>IFERROR(VLOOKUP(October[[#This Row],[Drug Name2]],'Data Options'!$R$1:$S$100,2,FALSE), " ")</f>
        <v xml:space="preserve"> </v>
      </c>
      <c r="V11" s="32"/>
      <c r="W11" s="32"/>
      <c r="X11" s="53"/>
      <c r="Y11" s="21" t="str">
        <f>IFERROR(VLOOKUP(October[[#This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21" t="str">
        <f>IFERROR(VLOOKUP(October[[#This Row],[Drug Name4]],'Data Options'!$R$1:$S$100,2,FALSE), " ")</f>
        <v xml:space="preserve"> </v>
      </c>
      <c r="AI11" s="32"/>
      <c r="AJ11" s="32"/>
      <c r="AK11" s="53"/>
      <c r="AL11" s="21" t="str">
        <f>IFERROR(VLOOKUP(October[[#This Row],[Drug Name5]],'Data Options'!$R$1:$S$100,2,FALSE), " ")</f>
        <v xml:space="preserve"> </v>
      </c>
      <c r="AM11" s="32"/>
      <c r="AN11" s="32"/>
      <c r="AO11" s="53"/>
      <c r="AP11" s="21" t="str">
        <f>IFERROR(VLOOKUP(October[[#This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21" t="str">
        <f>IFERROR(VLOOKUP(October[[#This Row],[Drug Name7]],'Data Options'!$R$1:$S$100,2,FALSE), " ")</f>
        <v xml:space="preserve"> </v>
      </c>
      <c r="AZ11" s="32"/>
      <c r="BA11" s="32"/>
      <c r="BB11" s="53"/>
      <c r="BC11" s="21" t="str">
        <f>IFERROR(VLOOKUP(October[[#This Row],[Drug Name8]],'Data Options'!$R$1:$S$100,2,FALSE), " ")</f>
        <v xml:space="preserve"> </v>
      </c>
      <c r="BD11" s="32"/>
      <c r="BE11" s="32"/>
      <c r="BF11" s="53"/>
      <c r="BG11" s="21" t="str">
        <f>IFERROR(VLOOKUP(October[[#This Row],[Drug Name9]],'Data Options'!$R$1:$S$100,2,FALSE), " ")</f>
        <v xml:space="preserve"> </v>
      </c>
      <c r="BH11" s="32"/>
      <c r="BI11" s="32"/>
    </row>
    <row r="12" spans="1:61">
      <c r="A12" s="51">
        <v>44113</v>
      </c>
      <c r="B12" s="52" t="s">
        <v>314</v>
      </c>
      <c r="C12" s="32">
        <v>20099</v>
      </c>
      <c r="D12" s="32" t="s">
        <v>12</v>
      </c>
      <c r="E12" s="32" t="s">
        <v>14</v>
      </c>
      <c r="F12" s="32" t="s">
        <v>117</v>
      </c>
      <c r="G12" s="32" t="s">
        <v>149</v>
      </c>
      <c r="H12" s="32"/>
      <c r="I12" s="32" t="s">
        <v>23</v>
      </c>
      <c r="J12" s="32">
        <v>0</v>
      </c>
      <c r="K12" s="32" t="s">
        <v>99</v>
      </c>
      <c r="L12" s="32"/>
      <c r="M12" s="32"/>
      <c r="N12" s="31"/>
      <c r="O12" s="31"/>
      <c r="P12" s="53"/>
      <c r="Q12" s="21" t="str">
        <f>IFERROR(VLOOKUP(October[[#This Row],[Drug Name]],'Data Options'!$R$1:$S$100,2,FALSE), " ")</f>
        <v xml:space="preserve"> </v>
      </c>
      <c r="R12" s="32"/>
      <c r="S12" s="32"/>
      <c r="T12" s="53"/>
      <c r="U12" s="21" t="str">
        <f>IFERROR(VLOOKUP(October[[#This Row],[Drug Name2]],'Data Options'!$R$1:$S$100,2,FALSE), " ")</f>
        <v xml:space="preserve"> </v>
      </c>
      <c r="V12" s="32"/>
      <c r="W12" s="32"/>
      <c r="X12" s="53"/>
      <c r="Y12" s="21" t="str">
        <f>IFERROR(VLOOKUP(October[[#This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21" t="str">
        <f>IFERROR(VLOOKUP(October[[#This Row],[Drug Name4]],'Data Options'!$R$1:$S$100,2,FALSE), " ")</f>
        <v xml:space="preserve"> </v>
      </c>
      <c r="AI12" s="32"/>
      <c r="AJ12" s="32"/>
      <c r="AK12" s="53"/>
      <c r="AL12" s="21" t="str">
        <f>IFERROR(VLOOKUP(October[[#This Row],[Drug Name5]],'Data Options'!$R$1:$S$100,2,FALSE), " ")</f>
        <v xml:space="preserve"> </v>
      </c>
      <c r="AM12" s="32"/>
      <c r="AN12" s="32"/>
      <c r="AO12" s="53"/>
      <c r="AP12" s="21" t="str">
        <f>IFERROR(VLOOKUP(October[[#This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21" t="str">
        <f>IFERROR(VLOOKUP(October[[#This Row],[Drug Name7]],'Data Options'!$R$1:$S$100,2,FALSE), " ")</f>
        <v xml:space="preserve"> </v>
      </c>
      <c r="AZ12" s="32"/>
      <c r="BA12" s="32"/>
      <c r="BB12" s="53"/>
      <c r="BC12" s="21" t="str">
        <f>IFERROR(VLOOKUP(October[[#This Row],[Drug Name8]],'Data Options'!$R$1:$S$100,2,FALSE), " ")</f>
        <v xml:space="preserve"> </v>
      </c>
      <c r="BD12" s="32"/>
      <c r="BE12" s="32"/>
      <c r="BF12" s="53"/>
      <c r="BG12" s="21" t="str">
        <f>IFERROR(VLOOKUP(October[[#This Row],[Drug Name9]],'Data Options'!$R$1:$S$100,2,FALSE), " ")</f>
        <v xml:space="preserve"> </v>
      </c>
      <c r="BH12" s="32"/>
      <c r="BI12" s="32"/>
    </row>
    <row r="13" spans="1:61">
      <c r="A13" s="51">
        <v>44114</v>
      </c>
      <c r="B13" s="52" t="s">
        <v>314</v>
      </c>
      <c r="C13" s="32">
        <v>20100</v>
      </c>
      <c r="D13" s="32" t="s">
        <v>13</v>
      </c>
      <c r="E13" s="32" t="s">
        <v>17</v>
      </c>
      <c r="F13" s="32" t="s">
        <v>218</v>
      </c>
      <c r="G13" s="32" t="s">
        <v>20</v>
      </c>
      <c r="H13" s="32"/>
      <c r="I13" s="32" t="s">
        <v>247</v>
      </c>
      <c r="J13" s="32">
        <v>0</v>
      </c>
      <c r="K13" s="32" t="s">
        <v>277</v>
      </c>
      <c r="L13" s="32"/>
      <c r="M13" s="32"/>
      <c r="N13" s="31"/>
      <c r="O13" s="31"/>
      <c r="P13" s="53"/>
      <c r="Q13" s="21" t="str">
        <f>IFERROR(VLOOKUP(October[[#This Row],[Drug Name]],'Data Options'!$R$1:$S$100,2,FALSE), " ")</f>
        <v xml:space="preserve"> </v>
      </c>
      <c r="R13" s="32"/>
      <c r="S13" s="32"/>
      <c r="T13" s="53"/>
      <c r="U13" s="21" t="str">
        <f>IFERROR(VLOOKUP(October[[#This Row],[Drug Name2]],'Data Options'!$R$1:$S$100,2,FALSE), " ")</f>
        <v xml:space="preserve"> </v>
      </c>
      <c r="V13" s="32"/>
      <c r="W13" s="32"/>
      <c r="X13" s="53"/>
      <c r="Y13" s="21" t="str">
        <f>IFERROR(VLOOKUP(October[[#This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21" t="str">
        <f>IFERROR(VLOOKUP(October[[#This Row],[Drug Name4]],'Data Options'!$R$1:$S$100,2,FALSE), " ")</f>
        <v xml:space="preserve"> </v>
      </c>
      <c r="AI13" s="32"/>
      <c r="AJ13" s="32"/>
      <c r="AK13" s="53"/>
      <c r="AL13" s="21" t="str">
        <f>IFERROR(VLOOKUP(October[[#This Row],[Drug Name5]],'Data Options'!$R$1:$S$100,2,FALSE), " ")</f>
        <v xml:space="preserve"> </v>
      </c>
      <c r="AM13" s="32"/>
      <c r="AN13" s="32"/>
      <c r="AO13" s="53"/>
      <c r="AP13" s="21" t="str">
        <f>IFERROR(VLOOKUP(October[[#This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21" t="str">
        <f>IFERROR(VLOOKUP(October[[#This Row],[Drug Name7]],'Data Options'!$R$1:$S$100,2,FALSE), " ")</f>
        <v xml:space="preserve"> </v>
      </c>
      <c r="AZ13" s="32"/>
      <c r="BA13" s="32"/>
      <c r="BB13" s="53"/>
      <c r="BC13" s="21" t="str">
        <f>IFERROR(VLOOKUP(October[[#This Row],[Drug Name8]],'Data Options'!$R$1:$S$100,2,FALSE), " ")</f>
        <v xml:space="preserve"> </v>
      </c>
      <c r="BD13" s="32"/>
      <c r="BE13" s="32"/>
      <c r="BF13" s="53"/>
      <c r="BG13" s="21" t="str">
        <f>IFERROR(VLOOKUP(October[[#This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21" t="str">
        <f>IFERROR(VLOOKUP(October[[#This Row],[Drug Name]],'Data Options'!$R$1:$S$100,2,FALSE), " ")</f>
        <v xml:space="preserve"> </v>
      </c>
      <c r="R14" s="32"/>
      <c r="S14" s="32"/>
      <c r="T14" s="53"/>
      <c r="U14" s="21" t="str">
        <f>IFERROR(VLOOKUP(October[[#This Row],[Drug Name2]],'Data Options'!$R$1:$S$100,2,FALSE), " ")</f>
        <v xml:space="preserve"> </v>
      </c>
      <c r="V14" s="32"/>
      <c r="W14" s="32"/>
      <c r="X14" s="53"/>
      <c r="Y14" s="21" t="str">
        <f>IFERROR(VLOOKUP(October[[#This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21" t="str">
        <f>IFERROR(VLOOKUP(October[[#This Row],[Drug Name4]],'Data Options'!$R$1:$S$100,2,FALSE), " ")</f>
        <v xml:space="preserve"> </v>
      </c>
      <c r="AI14" s="32"/>
      <c r="AJ14" s="32"/>
      <c r="AK14" s="53"/>
      <c r="AL14" s="21" t="str">
        <f>IFERROR(VLOOKUP(October[[#This Row],[Drug Name5]],'Data Options'!$R$1:$S$100,2,FALSE), " ")</f>
        <v xml:space="preserve"> </v>
      </c>
      <c r="AM14" s="32"/>
      <c r="AN14" s="32"/>
      <c r="AO14" s="53"/>
      <c r="AP14" s="21" t="str">
        <f>IFERROR(VLOOKUP(October[[#This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21" t="str">
        <f>IFERROR(VLOOKUP(October[[#This Row],[Drug Name7]],'Data Options'!$R$1:$S$100,2,FALSE), " ")</f>
        <v xml:space="preserve"> </v>
      </c>
      <c r="AZ14" s="32"/>
      <c r="BA14" s="32"/>
      <c r="BB14" s="53"/>
      <c r="BC14" s="21" t="str">
        <f>IFERROR(VLOOKUP(October[[#This Row],[Drug Name8]],'Data Options'!$R$1:$S$100,2,FALSE), " ")</f>
        <v xml:space="preserve"> </v>
      </c>
      <c r="BD14" s="32"/>
      <c r="BE14" s="32"/>
      <c r="BF14" s="53"/>
      <c r="BG14" s="21" t="str">
        <f>IFERROR(VLOOKUP(October[[#This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21" t="str">
        <f>IFERROR(VLOOKUP(October[[#This Row],[Drug Name]],'Data Options'!$R$1:$S$100,2,FALSE), " ")</f>
        <v xml:space="preserve"> </v>
      </c>
      <c r="R15" s="32"/>
      <c r="S15" s="32"/>
      <c r="T15" s="53"/>
      <c r="U15" s="21" t="str">
        <f>IFERROR(VLOOKUP(October[[#This Row],[Drug Name2]],'Data Options'!$R$1:$S$100,2,FALSE), " ")</f>
        <v xml:space="preserve"> </v>
      </c>
      <c r="V15" s="32"/>
      <c r="W15" s="32"/>
      <c r="X15" s="53"/>
      <c r="Y15" s="21" t="str">
        <f>IFERROR(VLOOKUP(October[[#This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21" t="str">
        <f>IFERROR(VLOOKUP(October[[#This Row],[Drug Name4]],'Data Options'!$R$1:$S$100,2,FALSE), " ")</f>
        <v xml:space="preserve"> </v>
      </c>
      <c r="AI15" s="32"/>
      <c r="AJ15" s="32"/>
      <c r="AK15" s="53"/>
      <c r="AL15" s="21" t="str">
        <f>IFERROR(VLOOKUP(October[[#This Row],[Drug Name5]],'Data Options'!$R$1:$S$100,2,FALSE), " ")</f>
        <v xml:space="preserve"> </v>
      </c>
      <c r="AM15" s="32"/>
      <c r="AN15" s="32"/>
      <c r="AO15" s="53"/>
      <c r="AP15" s="21" t="str">
        <f>IFERROR(VLOOKUP(October[[#This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21" t="str">
        <f>IFERROR(VLOOKUP(October[[#This Row],[Drug Name7]],'Data Options'!$R$1:$S$100,2,FALSE), " ")</f>
        <v xml:space="preserve"> </v>
      </c>
      <c r="AZ15" s="32"/>
      <c r="BA15" s="32"/>
      <c r="BB15" s="53"/>
      <c r="BC15" s="21" t="str">
        <f>IFERROR(VLOOKUP(October[[#This Row],[Drug Name8]],'Data Options'!$R$1:$S$100,2,FALSE), " ")</f>
        <v xml:space="preserve"> </v>
      </c>
      <c r="BD15" s="32"/>
      <c r="BE15" s="32"/>
      <c r="BF15" s="53"/>
      <c r="BG15" s="21" t="str">
        <f>IFERROR(VLOOKUP(October[[#This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21" t="str">
        <f>IFERROR(VLOOKUP(October[[#This Row],[Drug Name]],'Data Options'!$R$1:$S$100,2,FALSE), " ")</f>
        <v xml:space="preserve"> </v>
      </c>
      <c r="R16" s="32"/>
      <c r="S16" s="32"/>
      <c r="T16" s="53"/>
      <c r="U16" s="21" t="str">
        <f>IFERROR(VLOOKUP(October[[#This Row],[Drug Name2]],'Data Options'!$R$1:$S$100,2,FALSE), " ")</f>
        <v xml:space="preserve"> </v>
      </c>
      <c r="V16" s="32"/>
      <c r="W16" s="32"/>
      <c r="X16" s="53"/>
      <c r="Y16" s="21" t="str">
        <f>IFERROR(VLOOKUP(October[[#This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21" t="str">
        <f>IFERROR(VLOOKUP(October[[#This Row],[Drug Name4]],'Data Options'!$R$1:$S$100,2,FALSE), " ")</f>
        <v xml:space="preserve"> </v>
      </c>
      <c r="AI16" s="32"/>
      <c r="AJ16" s="32"/>
      <c r="AK16" s="53"/>
      <c r="AL16" s="21" t="str">
        <f>IFERROR(VLOOKUP(October[[#This Row],[Drug Name5]],'Data Options'!$R$1:$S$100,2,FALSE), " ")</f>
        <v xml:space="preserve"> </v>
      </c>
      <c r="AM16" s="32"/>
      <c r="AN16" s="32"/>
      <c r="AO16" s="53"/>
      <c r="AP16" s="21" t="str">
        <f>IFERROR(VLOOKUP(October[[#This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21" t="str">
        <f>IFERROR(VLOOKUP(October[[#This Row],[Drug Name7]],'Data Options'!$R$1:$S$100,2,FALSE), " ")</f>
        <v xml:space="preserve"> </v>
      </c>
      <c r="AZ16" s="32"/>
      <c r="BA16" s="32"/>
      <c r="BB16" s="53"/>
      <c r="BC16" s="21" t="str">
        <f>IFERROR(VLOOKUP(October[[#This Row],[Drug Name8]],'Data Options'!$R$1:$S$100,2,FALSE), " ")</f>
        <v xml:space="preserve"> </v>
      </c>
      <c r="BD16" s="32"/>
      <c r="BE16" s="32"/>
      <c r="BF16" s="53"/>
      <c r="BG16" s="21" t="str">
        <f>IFERROR(VLOOKUP(October[[#This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21" t="str">
        <f>IFERROR(VLOOKUP(October[[#This Row],[Drug Name]],'Data Options'!$R$1:$S$100,2,FALSE), " ")</f>
        <v xml:space="preserve"> </v>
      </c>
      <c r="R17" s="32"/>
      <c r="S17" s="32"/>
      <c r="T17" s="53"/>
      <c r="U17" s="21" t="str">
        <f>IFERROR(VLOOKUP(October[[#This Row],[Drug Name2]],'Data Options'!$R$1:$S$100,2,FALSE), " ")</f>
        <v xml:space="preserve"> </v>
      </c>
      <c r="V17" s="32"/>
      <c r="W17" s="32"/>
      <c r="X17" s="53"/>
      <c r="Y17" s="21" t="str">
        <f>IFERROR(VLOOKUP(October[[#This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21" t="str">
        <f>IFERROR(VLOOKUP(October[[#This Row],[Drug Name4]],'Data Options'!$R$1:$S$100,2,FALSE), " ")</f>
        <v xml:space="preserve"> </v>
      </c>
      <c r="AI17" s="32"/>
      <c r="AJ17" s="32"/>
      <c r="AK17" s="53"/>
      <c r="AL17" s="21" t="str">
        <f>IFERROR(VLOOKUP(October[[#This Row],[Drug Name5]],'Data Options'!$R$1:$S$100,2,FALSE), " ")</f>
        <v xml:space="preserve"> </v>
      </c>
      <c r="AM17" s="32"/>
      <c r="AN17" s="32"/>
      <c r="AO17" s="53"/>
      <c r="AP17" s="21" t="str">
        <f>IFERROR(VLOOKUP(October[[#This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21" t="str">
        <f>IFERROR(VLOOKUP(October[[#This Row],[Drug Name7]],'Data Options'!$R$1:$S$100,2,FALSE), " ")</f>
        <v xml:space="preserve"> </v>
      </c>
      <c r="AZ17" s="32"/>
      <c r="BA17" s="32"/>
      <c r="BB17" s="53"/>
      <c r="BC17" s="21" t="str">
        <f>IFERROR(VLOOKUP(October[[#This Row],[Drug Name8]],'Data Options'!$R$1:$S$100,2,FALSE), " ")</f>
        <v xml:space="preserve"> </v>
      </c>
      <c r="BD17" s="32"/>
      <c r="BE17" s="32"/>
      <c r="BF17" s="53"/>
      <c r="BG17" s="21" t="str">
        <f>IFERROR(VLOOKUP(October[[#This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21" t="str">
        <f>IFERROR(VLOOKUP(October[[#This Row],[Drug Name]],'Data Options'!$R$1:$S$100,2,FALSE), " ")</f>
        <v xml:space="preserve"> </v>
      </c>
      <c r="R18" s="32"/>
      <c r="S18" s="32"/>
      <c r="T18" s="53"/>
      <c r="U18" s="21" t="str">
        <f>IFERROR(VLOOKUP(October[[#This Row],[Drug Name2]],'Data Options'!$R$1:$S$100,2,FALSE), " ")</f>
        <v xml:space="preserve"> </v>
      </c>
      <c r="V18" s="32"/>
      <c r="W18" s="32"/>
      <c r="X18" s="53"/>
      <c r="Y18" s="21" t="str">
        <f>IFERROR(VLOOKUP(October[[#This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21" t="str">
        <f>IFERROR(VLOOKUP(October[[#This Row],[Drug Name4]],'Data Options'!$R$1:$S$100,2,FALSE), " ")</f>
        <v xml:space="preserve"> </v>
      </c>
      <c r="AI18" s="32"/>
      <c r="AJ18" s="32"/>
      <c r="AK18" s="53"/>
      <c r="AL18" s="21" t="str">
        <f>IFERROR(VLOOKUP(October[[#This Row],[Drug Name5]],'Data Options'!$R$1:$S$100,2,FALSE), " ")</f>
        <v xml:space="preserve"> </v>
      </c>
      <c r="AM18" s="32"/>
      <c r="AN18" s="32"/>
      <c r="AO18" s="53"/>
      <c r="AP18" s="21" t="str">
        <f>IFERROR(VLOOKUP(October[[#This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21" t="str">
        <f>IFERROR(VLOOKUP(October[[#This Row],[Drug Name7]],'Data Options'!$R$1:$S$100,2,FALSE), " ")</f>
        <v xml:space="preserve"> </v>
      </c>
      <c r="AZ18" s="32"/>
      <c r="BA18" s="32"/>
      <c r="BB18" s="53"/>
      <c r="BC18" s="21" t="str">
        <f>IFERROR(VLOOKUP(October[[#This Row],[Drug Name8]],'Data Options'!$R$1:$S$100,2,FALSE), " ")</f>
        <v xml:space="preserve"> </v>
      </c>
      <c r="BD18" s="32"/>
      <c r="BE18" s="32"/>
      <c r="BF18" s="53"/>
      <c r="BG18" s="21" t="str">
        <f>IFERROR(VLOOKUP(October[[#This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21" t="str">
        <f>IFERROR(VLOOKUP(October[[#This Row],[Drug Name]],'Data Options'!$R$1:$S$100,2,FALSE), " ")</f>
        <v xml:space="preserve"> </v>
      </c>
      <c r="R19" s="32"/>
      <c r="S19" s="32"/>
      <c r="T19" s="53"/>
      <c r="U19" s="21" t="str">
        <f>IFERROR(VLOOKUP(October[[#This Row],[Drug Name2]],'Data Options'!$R$1:$S$100,2,FALSE), " ")</f>
        <v xml:space="preserve"> </v>
      </c>
      <c r="V19" s="32"/>
      <c r="W19" s="32"/>
      <c r="X19" s="53"/>
      <c r="Y19" s="21" t="str">
        <f>IFERROR(VLOOKUP(October[[#This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21" t="str">
        <f>IFERROR(VLOOKUP(October[[#This Row],[Drug Name4]],'Data Options'!$R$1:$S$100,2,FALSE), " ")</f>
        <v xml:space="preserve"> </v>
      </c>
      <c r="AI19" s="32"/>
      <c r="AJ19" s="32"/>
      <c r="AK19" s="53"/>
      <c r="AL19" s="21" t="str">
        <f>IFERROR(VLOOKUP(October[[#This Row],[Drug Name5]],'Data Options'!$R$1:$S$100,2,FALSE), " ")</f>
        <v xml:space="preserve"> </v>
      </c>
      <c r="AM19" s="32"/>
      <c r="AN19" s="32"/>
      <c r="AO19" s="53"/>
      <c r="AP19" s="21" t="str">
        <f>IFERROR(VLOOKUP(October[[#This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21" t="str">
        <f>IFERROR(VLOOKUP(October[[#This Row],[Drug Name7]],'Data Options'!$R$1:$S$100,2,FALSE), " ")</f>
        <v xml:space="preserve"> </v>
      </c>
      <c r="AZ19" s="32"/>
      <c r="BA19" s="32"/>
      <c r="BB19" s="53"/>
      <c r="BC19" s="21" t="str">
        <f>IFERROR(VLOOKUP(October[[#This Row],[Drug Name8]],'Data Options'!$R$1:$S$100,2,FALSE), " ")</f>
        <v xml:space="preserve"> </v>
      </c>
      <c r="BD19" s="32"/>
      <c r="BE19" s="32"/>
      <c r="BF19" s="53"/>
      <c r="BG19" s="21" t="str">
        <f>IFERROR(VLOOKUP(October[[#This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21" t="str">
        <f>IFERROR(VLOOKUP(October[[#This Row],[Drug Name]],'Data Options'!$R$1:$S$100,2,FALSE), " ")</f>
        <v xml:space="preserve"> </v>
      </c>
      <c r="R20" s="32"/>
      <c r="S20" s="32"/>
      <c r="T20" s="53"/>
      <c r="U20" s="21" t="str">
        <f>IFERROR(VLOOKUP(October[[#This Row],[Drug Name2]],'Data Options'!$R$1:$S$100,2,FALSE), " ")</f>
        <v xml:space="preserve"> </v>
      </c>
      <c r="V20" s="32"/>
      <c r="W20" s="32"/>
      <c r="X20" s="53"/>
      <c r="Y20" s="21" t="str">
        <f>IFERROR(VLOOKUP(October[[#This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21" t="str">
        <f>IFERROR(VLOOKUP(October[[#This Row],[Drug Name4]],'Data Options'!$R$1:$S$100,2,FALSE), " ")</f>
        <v xml:space="preserve"> </v>
      </c>
      <c r="AI20" s="32"/>
      <c r="AJ20" s="32"/>
      <c r="AK20" s="53"/>
      <c r="AL20" s="21" t="str">
        <f>IFERROR(VLOOKUP(October[[#This Row],[Drug Name5]],'Data Options'!$R$1:$S$100,2,FALSE), " ")</f>
        <v xml:space="preserve"> </v>
      </c>
      <c r="AM20" s="32"/>
      <c r="AN20" s="32"/>
      <c r="AO20" s="53"/>
      <c r="AP20" s="21" t="str">
        <f>IFERROR(VLOOKUP(October[[#This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21" t="str">
        <f>IFERROR(VLOOKUP(October[[#This Row],[Drug Name7]],'Data Options'!$R$1:$S$100,2,FALSE), " ")</f>
        <v xml:space="preserve"> </v>
      </c>
      <c r="AZ20" s="32"/>
      <c r="BA20" s="32"/>
      <c r="BB20" s="53"/>
      <c r="BC20" s="21" t="str">
        <f>IFERROR(VLOOKUP(October[[#This Row],[Drug Name8]],'Data Options'!$R$1:$S$100,2,FALSE), " ")</f>
        <v xml:space="preserve"> </v>
      </c>
      <c r="BD20" s="32"/>
      <c r="BE20" s="32"/>
      <c r="BF20" s="53"/>
      <c r="BG20" s="21" t="str">
        <f>IFERROR(VLOOKUP(October[[#This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21" t="str">
        <f>IFERROR(VLOOKUP(October[[#This Row],[Drug Name]],'Data Options'!$R$1:$S$100,2,FALSE), " ")</f>
        <v xml:space="preserve"> </v>
      </c>
      <c r="R21" s="32"/>
      <c r="S21" s="32"/>
      <c r="T21" s="53"/>
      <c r="U21" s="21" t="str">
        <f>IFERROR(VLOOKUP(October[[#This Row],[Drug Name2]],'Data Options'!$R$1:$S$100,2,FALSE), " ")</f>
        <v xml:space="preserve"> </v>
      </c>
      <c r="V21" s="32"/>
      <c r="W21" s="32"/>
      <c r="X21" s="53"/>
      <c r="Y21" s="21" t="str">
        <f>IFERROR(VLOOKUP(October[[#This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21" t="str">
        <f>IFERROR(VLOOKUP(October[[#This Row],[Drug Name4]],'Data Options'!$R$1:$S$100,2,FALSE), " ")</f>
        <v xml:space="preserve"> </v>
      </c>
      <c r="AI21" s="32"/>
      <c r="AJ21" s="32"/>
      <c r="AK21" s="53"/>
      <c r="AL21" s="21" t="str">
        <f>IFERROR(VLOOKUP(October[[#This Row],[Drug Name5]],'Data Options'!$R$1:$S$100,2,FALSE), " ")</f>
        <v xml:space="preserve"> </v>
      </c>
      <c r="AM21" s="32"/>
      <c r="AN21" s="32"/>
      <c r="AO21" s="53"/>
      <c r="AP21" s="21" t="str">
        <f>IFERROR(VLOOKUP(October[[#This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21" t="str">
        <f>IFERROR(VLOOKUP(October[[#This Row],[Drug Name7]],'Data Options'!$R$1:$S$100,2,FALSE), " ")</f>
        <v xml:space="preserve"> </v>
      </c>
      <c r="AZ21" s="32"/>
      <c r="BA21" s="32"/>
      <c r="BB21" s="53"/>
      <c r="BC21" s="21" t="str">
        <f>IFERROR(VLOOKUP(October[[#This Row],[Drug Name8]],'Data Options'!$R$1:$S$100,2,FALSE), " ")</f>
        <v xml:space="preserve"> </v>
      </c>
      <c r="BD21" s="32"/>
      <c r="BE21" s="32"/>
      <c r="BF21" s="53"/>
      <c r="BG21" s="21" t="str">
        <f>IFERROR(VLOOKUP(October[[#This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21" t="str">
        <f>IFERROR(VLOOKUP(October[[#This Row],[Drug Name]],'Data Options'!$R$1:$S$100,2,FALSE), " ")</f>
        <v xml:space="preserve"> </v>
      </c>
      <c r="R22" s="32"/>
      <c r="S22" s="32"/>
      <c r="T22" s="53"/>
      <c r="U22" s="21" t="str">
        <f>IFERROR(VLOOKUP(October[[#This Row],[Drug Name2]],'Data Options'!$R$1:$S$100,2,FALSE), " ")</f>
        <v xml:space="preserve"> </v>
      </c>
      <c r="V22" s="32"/>
      <c r="W22" s="32"/>
      <c r="X22" s="53"/>
      <c r="Y22" s="21" t="str">
        <f>IFERROR(VLOOKUP(October[[#This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21" t="str">
        <f>IFERROR(VLOOKUP(October[[#This Row],[Drug Name4]],'Data Options'!$R$1:$S$100,2,FALSE), " ")</f>
        <v xml:space="preserve"> </v>
      </c>
      <c r="AI22" s="32"/>
      <c r="AJ22" s="32"/>
      <c r="AK22" s="53"/>
      <c r="AL22" s="21" t="str">
        <f>IFERROR(VLOOKUP(October[[#This Row],[Drug Name5]],'Data Options'!$R$1:$S$100,2,FALSE), " ")</f>
        <v xml:space="preserve"> </v>
      </c>
      <c r="AM22" s="32"/>
      <c r="AN22" s="32"/>
      <c r="AO22" s="53"/>
      <c r="AP22" s="21" t="str">
        <f>IFERROR(VLOOKUP(October[[#This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21" t="str">
        <f>IFERROR(VLOOKUP(October[[#This Row],[Drug Name7]],'Data Options'!$R$1:$S$100,2,FALSE), " ")</f>
        <v xml:space="preserve"> </v>
      </c>
      <c r="AZ22" s="32"/>
      <c r="BA22" s="32"/>
      <c r="BB22" s="53"/>
      <c r="BC22" s="21" t="str">
        <f>IFERROR(VLOOKUP(October[[#This Row],[Drug Name8]],'Data Options'!$R$1:$S$100,2,FALSE), " ")</f>
        <v xml:space="preserve"> </v>
      </c>
      <c r="BD22" s="32"/>
      <c r="BE22" s="32"/>
      <c r="BF22" s="53"/>
      <c r="BG22" s="21" t="str">
        <f>IFERROR(VLOOKUP(October[[#This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21" t="str">
        <f>IFERROR(VLOOKUP(October[[#This Row],[Drug Name]],'Data Options'!$R$1:$S$100,2,FALSE), " ")</f>
        <v xml:space="preserve"> </v>
      </c>
      <c r="R23" s="32"/>
      <c r="S23" s="32"/>
      <c r="T23" s="53"/>
      <c r="U23" s="21" t="str">
        <f>IFERROR(VLOOKUP(October[[#This Row],[Drug Name2]],'Data Options'!$R$1:$S$100,2,FALSE), " ")</f>
        <v xml:space="preserve"> </v>
      </c>
      <c r="V23" s="32"/>
      <c r="W23" s="32"/>
      <c r="X23" s="53"/>
      <c r="Y23" s="21" t="str">
        <f>IFERROR(VLOOKUP(October[[#This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21" t="str">
        <f>IFERROR(VLOOKUP(October[[#This Row],[Drug Name4]],'Data Options'!$R$1:$S$100,2,FALSE), " ")</f>
        <v xml:space="preserve"> </v>
      </c>
      <c r="AI23" s="32"/>
      <c r="AJ23" s="32"/>
      <c r="AK23" s="53"/>
      <c r="AL23" s="21" t="str">
        <f>IFERROR(VLOOKUP(October[[#This Row],[Drug Name5]],'Data Options'!$R$1:$S$100,2,FALSE), " ")</f>
        <v xml:space="preserve"> </v>
      </c>
      <c r="AM23" s="32"/>
      <c r="AN23" s="32"/>
      <c r="AO23" s="53"/>
      <c r="AP23" s="21" t="str">
        <f>IFERROR(VLOOKUP(October[[#This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21" t="str">
        <f>IFERROR(VLOOKUP(October[[#This Row],[Drug Name7]],'Data Options'!$R$1:$S$100,2,FALSE), " ")</f>
        <v xml:space="preserve"> </v>
      </c>
      <c r="AZ23" s="32"/>
      <c r="BA23" s="32"/>
      <c r="BB23" s="53"/>
      <c r="BC23" s="21" t="str">
        <f>IFERROR(VLOOKUP(October[[#This Row],[Drug Name8]],'Data Options'!$R$1:$S$100,2,FALSE), " ")</f>
        <v xml:space="preserve"> </v>
      </c>
      <c r="BD23" s="32"/>
      <c r="BE23" s="32"/>
      <c r="BF23" s="53"/>
      <c r="BG23" s="21" t="str">
        <f>IFERROR(VLOOKUP(October[[#This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21" t="str">
        <f>IFERROR(VLOOKUP(October[[#This Row],[Drug Name]],'Data Options'!$R$1:$S$100,2,FALSE), " ")</f>
        <v xml:space="preserve"> </v>
      </c>
      <c r="R24" s="32"/>
      <c r="S24" s="32"/>
      <c r="T24" s="53"/>
      <c r="U24" s="21" t="str">
        <f>IFERROR(VLOOKUP(October[[#This Row],[Drug Name2]],'Data Options'!$R$1:$S$100,2,FALSE), " ")</f>
        <v xml:space="preserve"> </v>
      </c>
      <c r="V24" s="32"/>
      <c r="W24" s="32"/>
      <c r="X24" s="53"/>
      <c r="Y24" s="21" t="str">
        <f>IFERROR(VLOOKUP(October[[#This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21" t="str">
        <f>IFERROR(VLOOKUP(October[[#This Row],[Drug Name4]],'Data Options'!$R$1:$S$100,2,FALSE), " ")</f>
        <v xml:space="preserve"> </v>
      </c>
      <c r="AI24" s="32"/>
      <c r="AJ24" s="32"/>
      <c r="AK24" s="53"/>
      <c r="AL24" s="21" t="str">
        <f>IFERROR(VLOOKUP(October[[#This Row],[Drug Name5]],'Data Options'!$R$1:$S$100,2,FALSE), " ")</f>
        <v xml:space="preserve"> </v>
      </c>
      <c r="AM24" s="32"/>
      <c r="AN24" s="32"/>
      <c r="AO24" s="53"/>
      <c r="AP24" s="21" t="str">
        <f>IFERROR(VLOOKUP(October[[#This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21" t="str">
        <f>IFERROR(VLOOKUP(October[[#This Row],[Drug Name7]],'Data Options'!$R$1:$S$100,2,FALSE), " ")</f>
        <v xml:space="preserve"> </v>
      </c>
      <c r="AZ24" s="32"/>
      <c r="BA24" s="32"/>
      <c r="BB24" s="53"/>
      <c r="BC24" s="21" t="str">
        <f>IFERROR(VLOOKUP(October[[#This Row],[Drug Name8]],'Data Options'!$R$1:$S$100,2,FALSE), " ")</f>
        <v xml:space="preserve"> </v>
      </c>
      <c r="BD24" s="32"/>
      <c r="BE24" s="32"/>
      <c r="BF24" s="53"/>
      <c r="BG24" s="21" t="str">
        <f>IFERROR(VLOOKUP(October[[#This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21" t="str">
        <f>IFERROR(VLOOKUP(October[[#This Row],[Drug Name]],'Data Options'!$R$1:$S$100,2,FALSE), " ")</f>
        <v xml:space="preserve"> </v>
      </c>
      <c r="R25" s="32"/>
      <c r="S25" s="32"/>
      <c r="T25" s="53"/>
      <c r="U25" s="21" t="str">
        <f>IFERROR(VLOOKUP(October[[#This Row],[Drug Name2]],'Data Options'!$R$1:$S$100,2,FALSE), " ")</f>
        <v xml:space="preserve"> </v>
      </c>
      <c r="V25" s="32"/>
      <c r="W25" s="32"/>
      <c r="X25" s="53"/>
      <c r="Y25" s="21" t="str">
        <f>IFERROR(VLOOKUP(October[[#This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21" t="str">
        <f>IFERROR(VLOOKUP(October[[#This Row],[Drug Name4]],'Data Options'!$R$1:$S$100,2,FALSE), " ")</f>
        <v xml:space="preserve"> </v>
      </c>
      <c r="AI25" s="32"/>
      <c r="AJ25" s="32"/>
      <c r="AK25" s="53"/>
      <c r="AL25" s="21" t="str">
        <f>IFERROR(VLOOKUP(October[[#This Row],[Drug Name5]],'Data Options'!$R$1:$S$100,2,FALSE), " ")</f>
        <v xml:space="preserve"> </v>
      </c>
      <c r="AM25" s="32"/>
      <c r="AN25" s="32"/>
      <c r="AO25" s="53"/>
      <c r="AP25" s="21" t="str">
        <f>IFERROR(VLOOKUP(October[[#This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21" t="str">
        <f>IFERROR(VLOOKUP(October[[#This Row],[Drug Name7]],'Data Options'!$R$1:$S$100,2,FALSE), " ")</f>
        <v xml:space="preserve"> </v>
      </c>
      <c r="AZ25" s="32"/>
      <c r="BA25" s="32"/>
      <c r="BB25" s="53"/>
      <c r="BC25" s="21" t="str">
        <f>IFERROR(VLOOKUP(October[[#This Row],[Drug Name8]],'Data Options'!$R$1:$S$100,2,FALSE), " ")</f>
        <v xml:space="preserve"> </v>
      </c>
      <c r="BD25" s="32"/>
      <c r="BE25" s="32"/>
      <c r="BF25" s="53"/>
      <c r="BG25" s="21" t="str">
        <f>IFERROR(VLOOKUP(October[[#This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21" t="str">
        <f>IFERROR(VLOOKUP(October[[#This Row],[Drug Name]],'Data Options'!$R$1:$S$100,2,FALSE), " ")</f>
        <v xml:space="preserve"> </v>
      </c>
      <c r="R26" s="32"/>
      <c r="S26" s="32"/>
      <c r="T26" s="53"/>
      <c r="U26" s="21" t="str">
        <f>IFERROR(VLOOKUP(October[[#This Row],[Drug Name2]],'Data Options'!$R$1:$S$100,2,FALSE), " ")</f>
        <v xml:space="preserve"> </v>
      </c>
      <c r="V26" s="32"/>
      <c r="W26" s="32"/>
      <c r="X26" s="53"/>
      <c r="Y26" s="21" t="str">
        <f>IFERROR(VLOOKUP(October[[#This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21" t="str">
        <f>IFERROR(VLOOKUP(October[[#This Row],[Drug Name4]],'Data Options'!$R$1:$S$100,2,FALSE), " ")</f>
        <v xml:space="preserve"> </v>
      </c>
      <c r="AI26" s="32"/>
      <c r="AJ26" s="32"/>
      <c r="AK26" s="53"/>
      <c r="AL26" s="21" t="str">
        <f>IFERROR(VLOOKUP(October[[#This Row],[Drug Name5]],'Data Options'!$R$1:$S$100,2,FALSE), " ")</f>
        <v xml:space="preserve"> </v>
      </c>
      <c r="AM26" s="32"/>
      <c r="AN26" s="32"/>
      <c r="AO26" s="53"/>
      <c r="AP26" s="21" t="str">
        <f>IFERROR(VLOOKUP(October[[#This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21" t="str">
        <f>IFERROR(VLOOKUP(October[[#This Row],[Drug Name7]],'Data Options'!$R$1:$S$100,2,FALSE), " ")</f>
        <v xml:space="preserve"> </v>
      </c>
      <c r="AZ26" s="32"/>
      <c r="BA26" s="32"/>
      <c r="BB26" s="53"/>
      <c r="BC26" s="21" t="str">
        <f>IFERROR(VLOOKUP(October[[#This Row],[Drug Name8]],'Data Options'!$R$1:$S$100,2,FALSE), " ")</f>
        <v xml:space="preserve"> </v>
      </c>
      <c r="BD26" s="32"/>
      <c r="BE26" s="32"/>
      <c r="BF26" s="53"/>
      <c r="BG26" s="21" t="str">
        <f>IFERROR(VLOOKUP(October[[#This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21" t="str">
        <f>IFERROR(VLOOKUP(October[[#This Row],[Drug Name]],'Data Options'!$R$1:$S$100,2,FALSE), " ")</f>
        <v xml:space="preserve"> </v>
      </c>
      <c r="R27" s="32"/>
      <c r="S27" s="32"/>
      <c r="T27" s="53"/>
      <c r="U27" s="21" t="str">
        <f>IFERROR(VLOOKUP(October[[#This Row],[Drug Name2]],'Data Options'!$R$1:$S$100,2,FALSE), " ")</f>
        <v xml:space="preserve"> </v>
      </c>
      <c r="V27" s="32"/>
      <c r="W27" s="32"/>
      <c r="X27" s="53"/>
      <c r="Y27" s="21" t="str">
        <f>IFERROR(VLOOKUP(October[[#This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21" t="str">
        <f>IFERROR(VLOOKUP(October[[#This Row],[Drug Name4]],'Data Options'!$R$1:$S$100,2,FALSE), " ")</f>
        <v xml:space="preserve"> </v>
      </c>
      <c r="AI27" s="32"/>
      <c r="AJ27" s="32"/>
      <c r="AK27" s="53"/>
      <c r="AL27" s="21" t="str">
        <f>IFERROR(VLOOKUP(October[[#This Row],[Drug Name5]],'Data Options'!$R$1:$S$100,2,FALSE), " ")</f>
        <v xml:space="preserve"> </v>
      </c>
      <c r="AM27" s="32"/>
      <c r="AN27" s="32"/>
      <c r="AO27" s="53"/>
      <c r="AP27" s="21" t="str">
        <f>IFERROR(VLOOKUP(October[[#This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21" t="str">
        <f>IFERROR(VLOOKUP(October[[#This Row],[Drug Name7]],'Data Options'!$R$1:$S$100,2,FALSE), " ")</f>
        <v xml:space="preserve"> </v>
      </c>
      <c r="AZ27" s="32"/>
      <c r="BA27" s="32"/>
      <c r="BB27" s="53"/>
      <c r="BC27" s="21" t="str">
        <f>IFERROR(VLOOKUP(October[[#This Row],[Drug Name8]],'Data Options'!$R$1:$S$100,2,FALSE), " ")</f>
        <v xml:space="preserve"> </v>
      </c>
      <c r="BD27" s="32"/>
      <c r="BE27" s="32"/>
      <c r="BF27" s="53"/>
      <c r="BG27" s="21" t="str">
        <f>IFERROR(VLOOKUP(October[[#This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21" t="str">
        <f>IFERROR(VLOOKUP(October[[#This Row],[Drug Name]],'Data Options'!$R$1:$S$100,2,FALSE), " ")</f>
        <v xml:space="preserve"> </v>
      </c>
      <c r="R28" s="32"/>
      <c r="S28" s="32"/>
      <c r="T28" s="53"/>
      <c r="U28" s="21" t="str">
        <f>IFERROR(VLOOKUP(October[[#This Row],[Drug Name2]],'Data Options'!$R$1:$S$100,2,FALSE), " ")</f>
        <v xml:space="preserve"> </v>
      </c>
      <c r="V28" s="32"/>
      <c r="W28" s="32"/>
      <c r="X28" s="53"/>
      <c r="Y28" s="21" t="str">
        <f>IFERROR(VLOOKUP(October[[#This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21" t="str">
        <f>IFERROR(VLOOKUP(October[[#This Row],[Drug Name4]],'Data Options'!$R$1:$S$100,2,FALSE), " ")</f>
        <v xml:space="preserve"> </v>
      </c>
      <c r="AI28" s="32"/>
      <c r="AJ28" s="32"/>
      <c r="AK28" s="53"/>
      <c r="AL28" s="21" t="str">
        <f>IFERROR(VLOOKUP(October[[#This Row],[Drug Name5]],'Data Options'!$R$1:$S$100,2,FALSE), " ")</f>
        <v xml:space="preserve"> </v>
      </c>
      <c r="AM28" s="32"/>
      <c r="AN28" s="32"/>
      <c r="AO28" s="53"/>
      <c r="AP28" s="21" t="str">
        <f>IFERROR(VLOOKUP(October[[#This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21" t="str">
        <f>IFERROR(VLOOKUP(October[[#This Row],[Drug Name7]],'Data Options'!$R$1:$S$100,2,FALSE), " ")</f>
        <v xml:space="preserve"> </v>
      </c>
      <c r="AZ28" s="32"/>
      <c r="BA28" s="32"/>
      <c r="BB28" s="53"/>
      <c r="BC28" s="21" t="str">
        <f>IFERROR(VLOOKUP(October[[#This Row],[Drug Name8]],'Data Options'!$R$1:$S$100,2,FALSE), " ")</f>
        <v xml:space="preserve"> </v>
      </c>
      <c r="BD28" s="32"/>
      <c r="BE28" s="32"/>
      <c r="BF28" s="53"/>
      <c r="BG28" s="21" t="str">
        <f>IFERROR(VLOOKUP(October[[#This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21" t="str">
        <f>IFERROR(VLOOKUP(October[[#This Row],[Drug Name]],'Data Options'!$R$1:$S$100,2,FALSE), " ")</f>
        <v xml:space="preserve"> </v>
      </c>
      <c r="R29" s="32"/>
      <c r="S29" s="32"/>
      <c r="T29" s="53"/>
      <c r="U29" s="21" t="str">
        <f>IFERROR(VLOOKUP(October[[#This Row],[Drug Name2]],'Data Options'!$R$1:$S$100,2,FALSE), " ")</f>
        <v xml:space="preserve"> </v>
      </c>
      <c r="V29" s="32"/>
      <c r="W29" s="32"/>
      <c r="X29" s="53"/>
      <c r="Y29" s="21" t="str">
        <f>IFERROR(VLOOKUP(October[[#This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21" t="str">
        <f>IFERROR(VLOOKUP(October[[#This Row],[Drug Name4]],'Data Options'!$R$1:$S$100,2,FALSE), " ")</f>
        <v xml:space="preserve"> </v>
      </c>
      <c r="AI29" s="32"/>
      <c r="AJ29" s="32"/>
      <c r="AK29" s="53"/>
      <c r="AL29" s="21" t="str">
        <f>IFERROR(VLOOKUP(October[[#This Row],[Drug Name5]],'Data Options'!$R$1:$S$100,2,FALSE), " ")</f>
        <v xml:space="preserve"> </v>
      </c>
      <c r="AM29" s="32"/>
      <c r="AN29" s="32"/>
      <c r="AO29" s="53"/>
      <c r="AP29" s="21" t="str">
        <f>IFERROR(VLOOKUP(October[[#This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21" t="str">
        <f>IFERROR(VLOOKUP(October[[#This Row],[Drug Name7]],'Data Options'!$R$1:$S$100,2,FALSE), " ")</f>
        <v xml:space="preserve"> </v>
      </c>
      <c r="AZ29" s="32"/>
      <c r="BA29" s="32"/>
      <c r="BB29" s="53"/>
      <c r="BC29" s="21" t="str">
        <f>IFERROR(VLOOKUP(October[[#This Row],[Drug Name8]],'Data Options'!$R$1:$S$100,2,FALSE), " ")</f>
        <v xml:space="preserve"> </v>
      </c>
      <c r="BD29" s="32"/>
      <c r="BE29" s="32"/>
      <c r="BF29" s="53"/>
      <c r="BG29" s="21" t="str">
        <f>IFERROR(VLOOKUP(October[[#This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21" t="str">
        <f>IFERROR(VLOOKUP(October[[#This Row],[Drug Name]],'Data Options'!$R$1:$S$100,2,FALSE), " ")</f>
        <v xml:space="preserve"> </v>
      </c>
      <c r="R30" s="32"/>
      <c r="S30" s="32"/>
      <c r="T30" s="53"/>
      <c r="U30" s="21" t="str">
        <f>IFERROR(VLOOKUP(October[[#This Row],[Drug Name2]],'Data Options'!$R$1:$S$100,2,FALSE), " ")</f>
        <v xml:space="preserve"> </v>
      </c>
      <c r="V30" s="32"/>
      <c r="W30" s="32"/>
      <c r="X30" s="53"/>
      <c r="Y30" s="21" t="str">
        <f>IFERROR(VLOOKUP(October[[#This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21" t="str">
        <f>IFERROR(VLOOKUP(October[[#This Row],[Drug Name4]],'Data Options'!$R$1:$S$100,2,FALSE), " ")</f>
        <v xml:space="preserve"> </v>
      </c>
      <c r="AI30" s="32"/>
      <c r="AJ30" s="32"/>
      <c r="AK30" s="53"/>
      <c r="AL30" s="21" t="str">
        <f>IFERROR(VLOOKUP(October[[#This Row],[Drug Name5]],'Data Options'!$R$1:$S$100,2,FALSE), " ")</f>
        <v xml:space="preserve"> </v>
      </c>
      <c r="AM30" s="32"/>
      <c r="AN30" s="32"/>
      <c r="AO30" s="53"/>
      <c r="AP30" s="21" t="str">
        <f>IFERROR(VLOOKUP(October[[#This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21" t="str">
        <f>IFERROR(VLOOKUP(October[[#This Row],[Drug Name7]],'Data Options'!$R$1:$S$100,2,FALSE), " ")</f>
        <v xml:space="preserve"> </v>
      </c>
      <c r="AZ30" s="32"/>
      <c r="BA30" s="32"/>
      <c r="BB30" s="53"/>
      <c r="BC30" s="21" t="str">
        <f>IFERROR(VLOOKUP(October[[#This Row],[Drug Name8]],'Data Options'!$R$1:$S$100,2,FALSE), " ")</f>
        <v xml:space="preserve"> </v>
      </c>
      <c r="BD30" s="32"/>
      <c r="BE30" s="32"/>
      <c r="BF30" s="53"/>
      <c r="BG30" s="21" t="str">
        <f>IFERROR(VLOOKUP(October[[#This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21" t="str">
        <f>IFERROR(VLOOKUP(October[[#This Row],[Drug Name]],'Data Options'!$R$1:$S$100,2,FALSE), " ")</f>
        <v xml:space="preserve"> </v>
      </c>
      <c r="R31" s="32"/>
      <c r="S31" s="32"/>
      <c r="T31" s="53"/>
      <c r="U31" s="21" t="str">
        <f>IFERROR(VLOOKUP(October[[#This Row],[Drug Name2]],'Data Options'!$R$1:$S$100,2,FALSE), " ")</f>
        <v xml:space="preserve"> </v>
      </c>
      <c r="V31" s="32"/>
      <c r="W31" s="32"/>
      <c r="X31" s="53"/>
      <c r="Y31" s="21" t="str">
        <f>IFERROR(VLOOKUP(October[[#This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21" t="str">
        <f>IFERROR(VLOOKUP(October[[#This Row],[Drug Name4]],'Data Options'!$R$1:$S$100,2,FALSE), " ")</f>
        <v xml:space="preserve"> </v>
      </c>
      <c r="AI31" s="32"/>
      <c r="AJ31" s="32"/>
      <c r="AK31" s="53"/>
      <c r="AL31" s="21" t="str">
        <f>IFERROR(VLOOKUP(October[[#This Row],[Drug Name5]],'Data Options'!$R$1:$S$100,2,FALSE), " ")</f>
        <v xml:space="preserve"> </v>
      </c>
      <c r="AM31" s="32"/>
      <c r="AN31" s="32"/>
      <c r="AO31" s="53"/>
      <c r="AP31" s="21" t="str">
        <f>IFERROR(VLOOKUP(October[[#This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21" t="str">
        <f>IFERROR(VLOOKUP(October[[#This Row],[Drug Name7]],'Data Options'!$R$1:$S$100,2,FALSE), " ")</f>
        <v xml:space="preserve"> </v>
      </c>
      <c r="AZ31" s="32"/>
      <c r="BA31" s="32"/>
      <c r="BB31" s="53"/>
      <c r="BC31" s="21" t="str">
        <f>IFERROR(VLOOKUP(October[[#This Row],[Drug Name8]],'Data Options'!$R$1:$S$100,2,FALSE), " ")</f>
        <v xml:space="preserve"> </v>
      </c>
      <c r="BD31" s="32"/>
      <c r="BE31" s="32"/>
      <c r="BF31" s="53"/>
      <c r="BG31" s="21" t="str">
        <f>IFERROR(VLOOKUP(October[[#This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21" t="str">
        <f>IFERROR(VLOOKUP(October[[#This Row],[Drug Name]],'Data Options'!$R$1:$S$100,2,FALSE), " ")</f>
        <v xml:space="preserve"> </v>
      </c>
      <c r="R32" s="32"/>
      <c r="S32" s="32"/>
      <c r="T32" s="53"/>
      <c r="U32" s="21" t="str">
        <f>IFERROR(VLOOKUP(October[[#This Row],[Drug Name2]],'Data Options'!$R$1:$S$100,2,FALSE), " ")</f>
        <v xml:space="preserve"> </v>
      </c>
      <c r="V32" s="32"/>
      <c r="W32" s="32"/>
      <c r="X32" s="53"/>
      <c r="Y32" s="21" t="str">
        <f>IFERROR(VLOOKUP(October[[#This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21" t="str">
        <f>IFERROR(VLOOKUP(October[[#This Row],[Drug Name4]],'Data Options'!$R$1:$S$100,2,FALSE), " ")</f>
        <v xml:space="preserve"> </v>
      </c>
      <c r="AI32" s="32"/>
      <c r="AJ32" s="32"/>
      <c r="AK32" s="53"/>
      <c r="AL32" s="21" t="str">
        <f>IFERROR(VLOOKUP(October[[#This Row],[Drug Name5]],'Data Options'!$R$1:$S$100,2,FALSE), " ")</f>
        <v xml:space="preserve"> </v>
      </c>
      <c r="AM32" s="32"/>
      <c r="AN32" s="32"/>
      <c r="AO32" s="53"/>
      <c r="AP32" s="21" t="str">
        <f>IFERROR(VLOOKUP(October[[#This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21" t="str">
        <f>IFERROR(VLOOKUP(October[[#This Row],[Drug Name7]],'Data Options'!$R$1:$S$100,2,FALSE), " ")</f>
        <v xml:space="preserve"> </v>
      </c>
      <c r="AZ32" s="32"/>
      <c r="BA32" s="32"/>
      <c r="BB32" s="53"/>
      <c r="BC32" s="21" t="str">
        <f>IFERROR(VLOOKUP(October[[#This Row],[Drug Name8]],'Data Options'!$R$1:$S$100,2,FALSE), " ")</f>
        <v xml:space="preserve"> </v>
      </c>
      <c r="BD32" s="32"/>
      <c r="BE32" s="32"/>
      <c r="BF32" s="53"/>
      <c r="BG32" s="21" t="str">
        <f>IFERROR(VLOOKUP(October[[#This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21" t="str">
        <f>IFERROR(VLOOKUP(October[[#This Row],[Drug Name]],'Data Options'!$R$1:$S$100,2,FALSE), " ")</f>
        <v xml:space="preserve"> </v>
      </c>
      <c r="R33" s="32"/>
      <c r="S33" s="32"/>
      <c r="T33" s="53"/>
      <c r="U33" s="21" t="str">
        <f>IFERROR(VLOOKUP(October[[#This Row],[Drug Name2]],'Data Options'!$R$1:$S$100,2,FALSE), " ")</f>
        <v xml:space="preserve"> </v>
      </c>
      <c r="V33" s="32"/>
      <c r="W33" s="32"/>
      <c r="X33" s="53"/>
      <c r="Y33" s="21" t="str">
        <f>IFERROR(VLOOKUP(October[[#This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21" t="str">
        <f>IFERROR(VLOOKUP(October[[#This Row],[Drug Name4]],'Data Options'!$R$1:$S$100,2,FALSE), " ")</f>
        <v xml:space="preserve"> </v>
      </c>
      <c r="AI33" s="32"/>
      <c r="AJ33" s="32"/>
      <c r="AK33" s="53"/>
      <c r="AL33" s="21" t="str">
        <f>IFERROR(VLOOKUP(October[[#This Row],[Drug Name5]],'Data Options'!$R$1:$S$100,2,FALSE), " ")</f>
        <v xml:space="preserve"> </v>
      </c>
      <c r="AM33" s="32"/>
      <c r="AN33" s="32"/>
      <c r="AO33" s="53"/>
      <c r="AP33" s="21" t="str">
        <f>IFERROR(VLOOKUP(October[[#This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21" t="str">
        <f>IFERROR(VLOOKUP(October[[#This Row],[Drug Name7]],'Data Options'!$R$1:$S$100,2,FALSE), " ")</f>
        <v xml:space="preserve"> </v>
      </c>
      <c r="AZ33" s="32"/>
      <c r="BA33" s="32"/>
      <c r="BB33" s="53"/>
      <c r="BC33" s="21" t="str">
        <f>IFERROR(VLOOKUP(October[[#This Row],[Drug Name8]],'Data Options'!$R$1:$S$100,2,FALSE), " ")</f>
        <v xml:space="preserve"> </v>
      </c>
      <c r="BD33" s="32"/>
      <c r="BE33" s="32"/>
      <c r="BF33" s="53"/>
      <c r="BG33" s="21" t="str">
        <f>IFERROR(VLOOKUP(October[[#This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21" t="str">
        <f>IFERROR(VLOOKUP(October[[#This Row],[Drug Name]],'Data Options'!$R$1:$S$100,2,FALSE), " ")</f>
        <v xml:space="preserve"> </v>
      </c>
      <c r="R34" s="32"/>
      <c r="S34" s="32"/>
      <c r="T34" s="53"/>
      <c r="U34" s="21" t="str">
        <f>IFERROR(VLOOKUP(October[[#This Row],[Drug Name2]],'Data Options'!$R$1:$S$100,2,FALSE), " ")</f>
        <v xml:space="preserve"> </v>
      </c>
      <c r="V34" s="32"/>
      <c r="W34" s="32"/>
      <c r="X34" s="53"/>
      <c r="Y34" s="21" t="str">
        <f>IFERROR(VLOOKUP(October[[#This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21" t="str">
        <f>IFERROR(VLOOKUP(October[[#This Row],[Drug Name4]],'Data Options'!$R$1:$S$100,2,FALSE), " ")</f>
        <v xml:space="preserve"> </v>
      </c>
      <c r="AI34" s="32"/>
      <c r="AJ34" s="32"/>
      <c r="AK34" s="53"/>
      <c r="AL34" s="21" t="str">
        <f>IFERROR(VLOOKUP(October[[#This Row],[Drug Name5]],'Data Options'!$R$1:$S$100,2,FALSE), " ")</f>
        <v xml:space="preserve"> </v>
      </c>
      <c r="AM34" s="32"/>
      <c r="AN34" s="32"/>
      <c r="AO34" s="53"/>
      <c r="AP34" s="21" t="str">
        <f>IFERROR(VLOOKUP(October[[#This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21" t="str">
        <f>IFERROR(VLOOKUP(October[[#This Row],[Drug Name7]],'Data Options'!$R$1:$S$100,2,FALSE), " ")</f>
        <v xml:space="preserve"> </v>
      </c>
      <c r="AZ34" s="32"/>
      <c r="BA34" s="32"/>
      <c r="BB34" s="53"/>
      <c r="BC34" s="21" t="str">
        <f>IFERROR(VLOOKUP(October[[#This Row],[Drug Name8]],'Data Options'!$R$1:$S$100,2,FALSE), " ")</f>
        <v xml:space="preserve"> </v>
      </c>
      <c r="BD34" s="32"/>
      <c r="BE34" s="32"/>
      <c r="BF34" s="53"/>
      <c r="BG34" s="21" t="str">
        <f>IFERROR(VLOOKUP(October[[#This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21" t="str">
        <f>IFERROR(VLOOKUP(October[[#This Row],[Drug Name]],'Data Options'!$R$1:$S$100,2,FALSE), " ")</f>
        <v xml:space="preserve"> </v>
      </c>
      <c r="R35" s="32"/>
      <c r="S35" s="32"/>
      <c r="T35" s="53"/>
      <c r="U35" s="21" t="str">
        <f>IFERROR(VLOOKUP(October[[#This Row],[Drug Name2]],'Data Options'!$R$1:$S$100,2,FALSE), " ")</f>
        <v xml:space="preserve"> </v>
      </c>
      <c r="V35" s="32"/>
      <c r="W35" s="32"/>
      <c r="X35" s="53"/>
      <c r="Y35" s="21" t="str">
        <f>IFERROR(VLOOKUP(October[[#This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21" t="str">
        <f>IFERROR(VLOOKUP(October[[#This Row],[Drug Name4]],'Data Options'!$R$1:$S$100,2,FALSE), " ")</f>
        <v xml:space="preserve"> </v>
      </c>
      <c r="AI35" s="32"/>
      <c r="AJ35" s="32"/>
      <c r="AK35" s="53"/>
      <c r="AL35" s="21" t="str">
        <f>IFERROR(VLOOKUP(October[[#This Row],[Drug Name5]],'Data Options'!$R$1:$S$100,2,FALSE), " ")</f>
        <v xml:space="preserve"> </v>
      </c>
      <c r="AM35" s="32"/>
      <c r="AN35" s="32"/>
      <c r="AO35" s="53"/>
      <c r="AP35" s="21" t="str">
        <f>IFERROR(VLOOKUP(October[[#This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21" t="str">
        <f>IFERROR(VLOOKUP(October[[#This Row],[Drug Name7]],'Data Options'!$R$1:$S$100,2,FALSE), " ")</f>
        <v xml:space="preserve"> </v>
      </c>
      <c r="AZ35" s="32"/>
      <c r="BA35" s="32"/>
      <c r="BB35" s="53"/>
      <c r="BC35" s="21" t="str">
        <f>IFERROR(VLOOKUP(October[[#This Row],[Drug Name8]],'Data Options'!$R$1:$S$100,2,FALSE), " ")</f>
        <v xml:space="preserve"> </v>
      </c>
      <c r="BD35" s="32"/>
      <c r="BE35" s="32"/>
      <c r="BF35" s="53"/>
      <c r="BG35" s="21" t="str">
        <f>IFERROR(VLOOKUP(October[[#This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21" t="str">
        <f>IFERROR(VLOOKUP(October[[#This Row],[Drug Name]],'Data Options'!$R$1:$S$100,2,FALSE), " ")</f>
        <v xml:space="preserve"> </v>
      </c>
      <c r="R36" s="32"/>
      <c r="S36" s="32"/>
      <c r="T36" s="53"/>
      <c r="U36" s="21" t="str">
        <f>IFERROR(VLOOKUP(October[[#This Row],[Drug Name2]],'Data Options'!$R$1:$S$100,2,FALSE), " ")</f>
        <v xml:space="preserve"> </v>
      </c>
      <c r="V36" s="32"/>
      <c r="W36" s="32"/>
      <c r="X36" s="53"/>
      <c r="Y36" s="21" t="str">
        <f>IFERROR(VLOOKUP(October[[#This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21" t="str">
        <f>IFERROR(VLOOKUP(October[[#This Row],[Drug Name4]],'Data Options'!$R$1:$S$100,2,FALSE), " ")</f>
        <v xml:space="preserve"> </v>
      </c>
      <c r="AI36" s="32"/>
      <c r="AJ36" s="32"/>
      <c r="AK36" s="53"/>
      <c r="AL36" s="21" t="str">
        <f>IFERROR(VLOOKUP(October[[#This Row],[Drug Name5]],'Data Options'!$R$1:$S$100,2,FALSE), " ")</f>
        <v xml:space="preserve"> </v>
      </c>
      <c r="AM36" s="32"/>
      <c r="AN36" s="32"/>
      <c r="AO36" s="53"/>
      <c r="AP36" s="21" t="str">
        <f>IFERROR(VLOOKUP(October[[#This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21" t="str">
        <f>IFERROR(VLOOKUP(October[[#This Row],[Drug Name7]],'Data Options'!$R$1:$S$100,2,FALSE), " ")</f>
        <v xml:space="preserve"> </v>
      </c>
      <c r="AZ36" s="32"/>
      <c r="BA36" s="32"/>
      <c r="BB36" s="53"/>
      <c r="BC36" s="21" t="str">
        <f>IFERROR(VLOOKUP(October[[#This Row],[Drug Name8]],'Data Options'!$R$1:$S$100,2,FALSE), " ")</f>
        <v xml:space="preserve"> </v>
      </c>
      <c r="BD36" s="32"/>
      <c r="BE36" s="32"/>
      <c r="BF36" s="53"/>
      <c r="BG36" s="21" t="str">
        <f>IFERROR(VLOOKUP(October[[#This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21" t="str">
        <f>IFERROR(VLOOKUP(October[[#This Row],[Drug Name]],'Data Options'!$R$1:$S$100,2,FALSE), " ")</f>
        <v xml:space="preserve"> </v>
      </c>
      <c r="R37" s="32"/>
      <c r="S37" s="32"/>
      <c r="T37" s="53"/>
      <c r="U37" s="21" t="str">
        <f>IFERROR(VLOOKUP(October[[#This Row],[Drug Name2]],'Data Options'!$R$1:$S$100,2,FALSE), " ")</f>
        <v xml:space="preserve"> </v>
      </c>
      <c r="V37" s="32"/>
      <c r="W37" s="32"/>
      <c r="X37" s="53"/>
      <c r="Y37" s="21" t="str">
        <f>IFERROR(VLOOKUP(October[[#This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21" t="str">
        <f>IFERROR(VLOOKUP(October[[#This Row],[Drug Name4]],'Data Options'!$R$1:$S$100,2,FALSE), " ")</f>
        <v xml:space="preserve"> </v>
      </c>
      <c r="AI37" s="32"/>
      <c r="AJ37" s="32"/>
      <c r="AK37" s="53"/>
      <c r="AL37" s="21" t="str">
        <f>IFERROR(VLOOKUP(October[[#This Row],[Drug Name5]],'Data Options'!$R$1:$S$100,2,FALSE), " ")</f>
        <v xml:space="preserve"> </v>
      </c>
      <c r="AM37" s="32"/>
      <c r="AN37" s="32"/>
      <c r="AO37" s="53"/>
      <c r="AP37" s="21" t="str">
        <f>IFERROR(VLOOKUP(October[[#This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21" t="str">
        <f>IFERROR(VLOOKUP(October[[#This Row],[Drug Name7]],'Data Options'!$R$1:$S$100,2,FALSE), " ")</f>
        <v xml:space="preserve"> </v>
      </c>
      <c r="AZ37" s="32"/>
      <c r="BA37" s="32"/>
      <c r="BB37" s="53"/>
      <c r="BC37" s="21" t="str">
        <f>IFERROR(VLOOKUP(October[[#This Row],[Drug Name8]],'Data Options'!$R$1:$S$100,2,FALSE), " ")</f>
        <v xml:space="preserve"> </v>
      </c>
      <c r="BD37" s="32"/>
      <c r="BE37" s="32"/>
      <c r="BF37" s="53"/>
      <c r="BG37" s="21" t="str">
        <f>IFERROR(VLOOKUP(October[[#This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21" t="str">
        <f>IFERROR(VLOOKUP(October[[#This Row],[Drug Name]],'Data Options'!$R$1:$S$100,2,FALSE), " ")</f>
        <v xml:space="preserve"> </v>
      </c>
      <c r="R38" s="32"/>
      <c r="S38" s="32"/>
      <c r="T38" s="53"/>
      <c r="U38" s="21" t="str">
        <f>IFERROR(VLOOKUP(October[[#This Row],[Drug Name2]],'Data Options'!$R$1:$S$100,2,FALSE), " ")</f>
        <v xml:space="preserve"> </v>
      </c>
      <c r="V38" s="32"/>
      <c r="W38" s="32"/>
      <c r="X38" s="53"/>
      <c r="Y38" s="21" t="str">
        <f>IFERROR(VLOOKUP(October[[#This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21" t="str">
        <f>IFERROR(VLOOKUP(October[[#This Row],[Drug Name4]],'Data Options'!$R$1:$S$100,2,FALSE), " ")</f>
        <v xml:space="preserve"> </v>
      </c>
      <c r="AI38" s="32"/>
      <c r="AJ38" s="32"/>
      <c r="AK38" s="53"/>
      <c r="AL38" s="21" t="str">
        <f>IFERROR(VLOOKUP(October[[#This Row],[Drug Name5]],'Data Options'!$R$1:$S$100,2,FALSE), " ")</f>
        <v xml:space="preserve"> </v>
      </c>
      <c r="AM38" s="32"/>
      <c r="AN38" s="32"/>
      <c r="AO38" s="53"/>
      <c r="AP38" s="21" t="str">
        <f>IFERROR(VLOOKUP(October[[#This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21" t="str">
        <f>IFERROR(VLOOKUP(October[[#This Row],[Drug Name7]],'Data Options'!$R$1:$S$100,2,FALSE), " ")</f>
        <v xml:space="preserve"> </v>
      </c>
      <c r="AZ38" s="32"/>
      <c r="BA38" s="32"/>
      <c r="BB38" s="53"/>
      <c r="BC38" s="21" t="str">
        <f>IFERROR(VLOOKUP(October[[#This Row],[Drug Name8]],'Data Options'!$R$1:$S$100,2,FALSE), " ")</f>
        <v xml:space="preserve"> </v>
      </c>
      <c r="BD38" s="32"/>
      <c r="BE38" s="32"/>
      <c r="BF38" s="53"/>
      <c r="BG38" s="21" t="str">
        <f>IFERROR(VLOOKUP(October[[#This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21" t="str">
        <f>IFERROR(VLOOKUP(October[[#This Row],[Drug Name]],'Data Options'!$R$1:$S$100,2,FALSE), " ")</f>
        <v xml:space="preserve"> </v>
      </c>
      <c r="R39" s="32"/>
      <c r="S39" s="32"/>
      <c r="T39" s="53"/>
      <c r="U39" s="21" t="str">
        <f>IFERROR(VLOOKUP(October[[#This Row],[Drug Name2]],'Data Options'!$R$1:$S$100,2,FALSE), " ")</f>
        <v xml:space="preserve"> </v>
      </c>
      <c r="V39" s="32"/>
      <c r="W39" s="32"/>
      <c r="X39" s="53"/>
      <c r="Y39" s="21" t="str">
        <f>IFERROR(VLOOKUP(October[[#This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21" t="str">
        <f>IFERROR(VLOOKUP(October[[#This Row],[Drug Name4]],'Data Options'!$R$1:$S$100,2,FALSE), " ")</f>
        <v xml:space="preserve"> </v>
      </c>
      <c r="AI39" s="32"/>
      <c r="AJ39" s="32"/>
      <c r="AK39" s="53"/>
      <c r="AL39" s="21" t="str">
        <f>IFERROR(VLOOKUP(October[[#This Row],[Drug Name5]],'Data Options'!$R$1:$S$100,2,FALSE), " ")</f>
        <v xml:space="preserve"> </v>
      </c>
      <c r="AM39" s="32"/>
      <c r="AN39" s="32"/>
      <c r="AO39" s="53"/>
      <c r="AP39" s="21" t="str">
        <f>IFERROR(VLOOKUP(October[[#This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21" t="str">
        <f>IFERROR(VLOOKUP(October[[#This Row],[Drug Name7]],'Data Options'!$R$1:$S$100,2,FALSE), " ")</f>
        <v xml:space="preserve"> </v>
      </c>
      <c r="AZ39" s="32"/>
      <c r="BA39" s="32"/>
      <c r="BB39" s="53"/>
      <c r="BC39" s="21" t="str">
        <f>IFERROR(VLOOKUP(October[[#This Row],[Drug Name8]],'Data Options'!$R$1:$S$100,2,FALSE), " ")</f>
        <v xml:space="preserve"> </v>
      </c>
      <c r="BD39" s="32"/>
      <c r="BE39" s="32"/>
      <c r="BF39" s="53"/>
      <c r="BG39" s="21" t="str">
        <f>IFERROR(VLOOKUP(October[[#This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21" t="str">
        <f>IFERROR(VLOOKUP(October[[#This Row],[Drug Name]],'Data Options'!$R$1:$S$100,2,FALSE), " ")</f>
        <v xml:space="preserve"> </v>
      </c>
      <c r="R40" s="32"/>
      <c r="S40" s="32"/>
      <c r="T40" s="53"/>
      <c r="U40" s="21" t="str">
        <f>IFERROR(VLOOKUP(October[[#This Row],[Drug Name2]],'Data Options'!$R$1:$S$100,2,FALSE), " ")</f>
        <v xml:space="preserve"> </v>
      </c>
      <c r="V40" s="32"/>
      <c r="W40" s="32"/>
      <c r="X40" s="53"/>
      <c r="Y40" s="21" t="str">
        <f>IFERROR(VLOOKUP(October[[#This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21" t="str">
        <f>IFERROR(VLOOKUP(October[[#This Row],[Drug Name4]],'Data Options'!$R$1:$S$100,2,FALSE), " ")</f>
        <v xml:space="preserve"> </v>
      </c>
      <c r="AI40" s="32"/>
      <c r="AJ40" s="32"/>
      <c r="AK40" s="53"/>
      <c r="AL40" s="21" t="str">
        <f>IFERROR(VLOOKUP(October[[#This Row],[Drug Name5]],'Data Options'!$R$1:$S$100,2,FALSE), " ")</f>
        <v xml:space="preserve"> </v>
      </c>
      <c r="AM40" s="32"/>
      <c r="AN40" s="32"/>
      <c r="AO40" s="53"/>
      <c r="AP40" s="21" t="str">
        <f>IFERROR(VLOOKUP(October[[#This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21" t="str">
        <f>IFERROR(VLOOKUP(October[[#This Row],[Drug Name7]],'Data Options'!$R$1:$S$100,2,FALSE), " ")</f>
        <v xml:space="preserve"> </v>
      </c>
      <c r="AZ40" s="32"/>
      <c r="BA40" s="32"/>
      <c r="BB40" s="53"/>
      <c r="BC40" s="21" t="str">
        <f>IFERROR(VLOOKUP(October[[#This Row],[Drug Name8]],'Data Options'!$R$1:$S$100,2,FALSE), " ")</f>
        <v xml:space="preserve"> </v>
      </c>
      <c r="BD40" s="32"/>
      <c r="BE40" s="32"/>
      <c r="BF40" s="53"/>
      <c r="BG40" s="21" t="str">
        <f>IFERROR(VLOOKUP(October[[#This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21" t="str">
        <f>IFERROR(VLOOKUP(October[[#This Row],[Drug Name]],'Data Options'!$R$1:$S$100,2,FALSE), " ")</f>
        <v xml:space="preserve"> </v>
      </c>
      <c r="R41" s="32"/>
      <c r="S41" s="32"/>
      <c r="T41" s="53"/>
      <c r="U41" s="21" t="str">
        <f>IFERROR(VLOOKUP(October[[#This Row],[Drug Name2]],'Data Options'!$R$1:$S$100,2,FALSE), " ")</f>
        <v xml:space="preserve"> </v>
      </c>
      <c r="V41" s="32"/>
      <c r="W41" s="32"/>
      <c r="X41" s="53"/>
      <c r="Y41" s="21" t="str">
        <f>IFERROR(VLOOKUP(October[[#This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21" t="str">
        <f>IFERROR(VLOOKUP(October[[#This Row],[Drug Name4]],'Data Options'!$R$1:$S$100,2,FALSE), " ")</f>
        <v xml:space="preserve"> </v>
      </c>
      <c r="AI41" s="32"/>
      <c r="AJ41" s="32"/>
      <c r="AK41" s="53"/>
      <c r="AL41" s="21" t="str">
        <f>IFERROR(VLOOKUP(October[[#This Row],[Drug Name5]],'Data Options'!$R$1:$S$100,2,FALSE), " ")</f>
        <v xml:space="preserve"> </v>
      </c>
      <c r="AM41" s="32"/>
      <c r="AN41" s="32"/>
      <c r="AO41" s="53"/>
      <c r="AP41" s="21" t="str">
        <f>IFERROR(VLOOKUP(October[[#This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21" t="str">
        <f>IFERROR(VLOOKUP(October[[#This Row],[Drug Name7]],'Data Options'!$R$1:$S$100,2,FALSE), " ")</f>
        <v xml:space="preserve"> </v>
      </c>
      <c r="AZ41" s="32"/>
      <c r="BA41" s="32"/>
      <c r="BB41" s="53"/>
      <c r="BC41" s="21" t="str">
        <f>IFERROR(VLOOKUP(October[[#This Row],[Drug Name8]],'Data Options'!$R$1:$S$100,2,FALSE), " ")</f>
        <v xml:space="preserve"> </v>
      </c>
      <c r="BD41" s="32"/>
      <c r="BE41" s="32"/>
      <c r="BF41" s="53"/>
      <c r="BG41" s="21" t="str">
        <f>IFERROR(VLOOKUP(October[[#This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21" t="str">
        <f>IFERROR(VLOOKUP(October[[#This Row],[Drug Name]],'Data Options'!$R$1:$S$100,2,FALSE), " ")</f>
        <v xml:space="preserve"> </v>
      </c>
      <c r="R42" s="32"/>
      <c r="S42" s="32"/>
      <c r="T42" s="53"/>
      <c r="U42" s="21" t="str">
        <f>IFERROR(VLOOKUP(October[[#This Row],[Drug Name2]],'Data Options'!$R$1:$S$100,2,FALSE), " ")</f>
        <v xml:space="preserve"> </v>
      </c>
      <c r="V42" s="32"/>
      <c r="W42" s="32"/>
      <c r="X42" s="53"/>
      <c r="Y42" s="21" t="str">
        <f>IFERROR(VLOOKUP(October[[#This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21" t="str">
        <f>IFERROR(VLOOKUP(October[[#This Row],[Drug Name4]],'Data Options'!$R$1:$S$100,2,FALSE), " ")</f>
        <v xml:space="preserve"> </v>
      </c>
      <c r="AI42" s="32"/>
      <c r="AJ42" s="32"/>
      <c r="AK42" s="53"/>
      <c r="AL42" s="21" t="str">
        <f>IFERROR(VLOOKUP(October[[#This Row],[Drug Name5]],'Data Options'!$R$1:$S$100,2,FALSE), " ")</f>
        <v xml:space="preserve"> </v>
      </c>
      <c r="AM42" s="32"/>
      <c r="AN42" s="32"/>
      <c r="AO42" s="53"/>
      <c r="AP42" s="21" t="str">
        <f>IFERROR(VLOOKUP(October[[#This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21" t="str">
        <f>IFERROR(VLOOKUP(October[[#This Row],[Drug Name7]],'Data Options'!$R$1:$S$100,2,FALSE), " ")</f>
        <v xml:space="preserve"> </v>
      </c>
      <c r="AZ42" s="32"/>
      <c r="BA42" s="32"/>
      <c r="BB42" s="53"/>
      <c r="BC42" s="21" t="str">
        <f>IFERROR(VLOOKUP(October[[#This Row],[Drug Name8]],'Data Options'!$R$1:$S$100,2,FALSE), " ")</f>
        <v xml:space="preserve"> </v>
      </c>
      <c r="BD42" s="32"/>
      <c r="BE42" s="32"/>
      <c r="BF42" s="53"/>
      <c r="BG42" s="21" t="str">
        <f>IFERROR(VLOOKUP(October[[#This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21" t="str">
        <f>IFERROR(VLOOKUP(October[[#This Row],[Drug Name]],'Data Options'!$R$1:$S$100,2,FALSE), " ")</f>
        <v xml:space="preserve"> </v>
      </c>
      <c r="R43" s="32"/>
      <c r="S43" s="32"/>
      <c r="T43" s="53"/>
      <c r="U43" s="21" t="str">
        <f>IFERROR(VLOOKUP(October[[#This Row],[Drug Name2]],'Data Options'!$R$1:$S$100,2,FALSE), " ")</f>
        <v xml:space="preserve"> </v>
      </c>
      <c r="V43" s="32"/>
      <c r="W43" s="32"/>
      <c r="X43" s="53"/>
      <c r="Y43" s="21" t="str">
        <f>IFERROR(VLOOKUP(October[[#This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21" t="str">
        <f>IFERROR(VLOOKUP(October[[#This Row],[Drug Name4]],'Data Options'!$R$1:$S$100,2,FALSE), " ")</f>
        <v xml:space="preserve"> </v>
      </c>
      <c r="AI43" s="32"/>
      <c r="AJ43" s="32"/>
      <c r="AK43" s="53"/>
      <c r="AL43" s="21" t="str">
        <f>IFERROR(VLOOKUP(October[[#This Row],[Drug Name5]],'Data Options'!$R$1:$S$100,2,FALSE), " ")</f>
        <v xml:space="preserve"> </v>
      </c>
      <c r="AM43" s="32"/>
      <c r="AN43" s="32"/>
      <c r="AO43" s="53"/>
      <c r="AP43" s="21" t="str">
        <f>IFERROR(VLOOKUP(October[[#This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21" t="str">
        <f>IFERROR(VLOOKUP(October[[#This Row],[Drug Name7]],'Data Options'!$R$1:$S$100,2,FALSE), " ")</f>
        <v xml:space="preserve"> </v>
      </c>
      <c r="AZ43" s="32"/>
      <c r="BA43" s="32"/>
      <c r="BB43" s="53"/>
      <c r="BC43" s="21" t="str">
        <f>IFERROR(VLOOKUP(October[[#This Row],[Drug Name8]],'Data Options'!$R$1:$S$100,2,FALSE), " ")</f>
        <v xml:space="preserve"> </v>
      </c>
      <c r="BD43" s="32"/>
      <c r="BE43" s="32"/>
      <c r="BF43" s="53"/>
      <c r="BG43" s="21" t="str">
        <f>IFERROR(VLOOKUP(October[[#This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21" t="str">
        <f>IFERROR(VLOOKUP(October[[#This Row],[Drug Name]],'Data Options'!$R$1:$S$100,2,FALSE), " ")</f>
        <v xml:space="preserve"> </v>
      </c>
      <c r="R44" s="32"/>
      <c r="S44" s="32"/>
      <c r="T44" s="53"/>
      <c r="U44" s="21" t="str">
        <f>IFERROR(VLOOKUP(October[[#This Row],[Drug Name2]],'Data Options'!$R$1:$S$100,2,FALSE), " ")</f>
        <v xml:space="preserve"> </v>
      </c>
      <c r="V44" s="32"/>
      <c r="W44" s="32"/>
      <c r="X44" s="53"/>
      <c r="Y44" s="21" t="str">
        <f>IFERROR(VLOOKUP(October[[#This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21" t="str">
        <f>IFERROR(VLOOKUP(October[[#This Row],[Drug Name4]],'Data Options'!$R$1:$S$100,2,FALSE), " ")</f>
        <v xml:space="preserve"> </v>
      </c>
      <c r="AI44" s="32"/>
      <c r="AJ44" s="32"/>
      <c r="AK44" s="53"/>
      <c r="AL44" s="21" t="str">
        <f>IFERROR(VLOOKUP(October[[#This Row],[Drug Name5]],'Data Options'!$R$1:$S$100,2,FALSE), " ")</f>
        <v xml:space="preserve"> </v>
      </c>
      <c r="AM44" s="32"/>
      <c r="AN44" s="32"/>
      <c r="AO44" s="53"/>
      <c r="AP44" s="21" t="str">
        <f>IFERROR(VLOOKUP(October[[#This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21" t="str">
        <f>IFERROR(VLOOKUP(October[[#This Row],[Drug Name7]],'Data Options'!$R$1:$S$100,2,FALSE), " ")</f>
        <v xml:space="preserve"> </v>
      </c>
      <c r="AZ44" s="32"/>
      <c r="BA44" s="32"/>
      <c r="BB44" s="53"/>
      <c r="BC44" s="21" t="str">
        <f>IFERROR(VLOOKUP(October[[#This Row],[Drug Name8]],'Data Options'!$R$1:$S$100,2,FALSE), " ")</f>
        <v xml:space="preserve"> </v>
      </c>
      <c r="BD44" s="32"/>
      <c r="BE44" s="32"/>
      <c r="BF44" s="53"/>
      <c r="BG44" s="21" t="str">
        <f>IFERROR(VLOOKUP(October[[#This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21" t="str">
        <f>IFERROR(VLOOKUP(October[[#This Row],[Drug Name]],'Data Options'!$R$1:$S$100,2,FALSE), " ")</f>
        <v xml:space="preserve"> </v>
      </c>
      <c r="R45" s="32"/>
      <c r="S45" s="32"/>
      <c r="T45" s="53"/>
      <c r="U45" s="21" t="str">
        <f>IFERROR(VLOOKUP(October[[#This Row],[Drug Name2]],'Data Options'!$R$1:$S$100,2,FALSE), " ")</f>
        <v xml:space="preserve"> </v>
      </c>
      <c r="V45" s="32"/>
      <c r="W45" s="32"/>
      <c r="X45" s="53"/>
      <c r="Y45" s="21" t="str">
        <f>IFERROR(VLOOKUP(October[[#This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21" t="str">
        <f>IFERROR(VLOOKUP(October[[#This Row],[Drug Name4]],'Data Options'!$R$1:$S$100,2,FALSE), " ")</f>
        <v xml:space="preserve"> </v>
      </c>
      <c r="AI45" s="32"/>
      <c r="AJ45" s="32"/>
      <c r="AK45" s="53"/>
      <c r="AL45" s="21" t="str">
        <f>IFERROR(VLOOKUP(October[[#This Row],[Drug Name5]],'Data Options'!$R$1:$S$100,2,FALSE), " ")</f>
        <v xml:space="preserve"> </v>
      </c>
      <c r="AM45" s="32"/>
      <c r="AN45" s="32"/>
      <c r="AO45" s="53"/>
      <c r="AP45" s="21" t="str">
        <f>IFERROR(VLOOKUP(October[[#This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21" t="str">
        <f>IFERROR(VLOOKUP(October[[#This Row],[Drug Name7]],'Data Options'!$R$1:$S$100,2,FALSE), " ")</f>
        <v xml:space="preserve"> </v>
      </c>
      <c r="AZ45" s="32"/>
      <c r="BA45" s="32"/>
      <c r="BB45" s="53"/>
      <c r="BC45" s="21" t="str">
        <f>IFERROR(VLOOKUP(October[[#This Row],[Drug Name8]],'Data Options'!$R$1:$S$100,2,FALSE), " ")</f>
        <v xml:space="preserve"> </v>
      </c>
      <c r="BD45" s="32"/>
      <c r="BE45" s="32"/>
      <c r="BF45" s="53"/>
      <c r="BG45" s="21" t="str">
        <f>IFERROR(VLOOKUP(October[[#This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21" t="str">
        <f>IFERROR(VLOOKUP(October[[#This Row],[Drug Name]],'Data Options'!$R$1:$S$100,2,FALSE), " ")</f>
        <v xml:space="preserve"> </v>
      </c>
      <c r="R46" s="32"/>
      <c r="S46" s="32"/>
      <c r="T46" s="53"/>
      <c r="U46" s="21" t="str">
        <f>IFERROR(VLOOKUP(October[[#This Row],[Drug Name2]],'Data Options'!$R$1:$S$100,2,FALSE), " ")</f>
        <v xml:space="preserve"> </v>
      </c>
      <c r="V46" s="32"/>
      <c r="W46" s="32"/>
      <c r="X46" s="53"/>
      <c r="Y46" s="21" t="str">
        <f>IFERROR(VLOOKUP(October[[#This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21" t="str">
        <f>IFERROR(VLOOKUP(October[[#This Row],[Drug Name4]],'Data Options'!$R$1:$S$100,2,FALSE), " ")</f>
        <v xml:space="preserve"> </v>
      </c>
      <c r="AI46" s="32"/>
      <c r="AJ46" s="32"/>
      <c r="AK46" s="53"/>
      <c r="AL46" s="21" t="str">
        <f>IFERROR(VLOOKUP(October[[#This Row],[Drug Name5]],'Data Options'!$R$1:$S$100,2,FALSE), " ")</f>
        <v xml:space="preserve"> </v>
      </c>
      <c r="AM46" s="32"/>
      <c r="AN46" s="32"/>
      <c r="AO46" s="53"/>
      <c r="AP46" s="21" t="str">
        <f>IFERROR(VLOOKUP(October[[#This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21" t="str">
        <f>IFERROR(VLOOKUP(October[[#This Row],[Drug Name7]],'Data Options'!$R$1:$S$100,2,FALSE), " ")</f>
        <v xml:space="preserve"> </v>
      </c>
      <c r="AZ46" s="32"/>
      <c r="BA46" s="32"/>
      <c r="BB46" s="53"/>
      <c r="BC46" s="21" t="str">
        <f>IFERROR(VLOOKUP(October[[#This Row],[Drug Name8]],'Data Options'!$R$1:$S$100,2,FALSE), " ")</f>
        <v xml:space="preserve"> </v>
      </c>
      <c r="BD46" s="32"/>
      <c r="BE46" s="32"/>
      <c r="BF46" s="53"/>
      <c r="BG46" s="21" t="str">
        <f>IFERROR(VLOOKUP(October[[#This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21" t="str">
        <f>IFERROR(VLOOKUP(October[[#This Row],[Drug Name]],'Data Options'!$R$1:$S$100,2,FALSE), " ")</f>
        <v xml:space="preserve"> </v>
      </c>
      <c r="R47" s="32"/>
      <c r="S47" s="32"/>
      <c r="T47" s="53"/>
      <c r="U47" s="21" t="str">
        <f>IFERROR(VLOOKUP(October[[#This Row],[Drug Name2]],'Data Options'!$R$1:$S$100,2,FALSE), " ")</f>
        <v xml:space="preserve"> </v>
      </c>
      <c r="V47" s="32"/>
      <c r="W47" s="32"/>
      <c r="X47" s="53"/>
      <c r="Y47" s="21" t="str">
        <f>IFERROR(VLOOKUP(October[[#This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21" t="str">
        <f>IFERROR(VLOOKUP(October[[#This Row],[Drug Name4]],'Data Options'!$R$1:$S$100,2,FALSE), " ")</f>
        <v xml:space="preserve"> </v>
      </c>
      <c r="AI47" s="32"/>
      <c r="AJ47" s="32"/>
      <c r="AK47" s="53"/>
      <c r="AL47" s="21" t="str">
        <f>IFERROR(VLOOKUP(October[[#This Row],[Drug Name5]],'Data Options'!$R$1:$S$100,2,FALSE), " ")</f>
        <v xml:space="preserve"> </v>
      </c>
      <c r="AM47" s="32"/>
      <c r="AN47" s="32"/>
      <c r="AO47" s="53"/>
      <c r="AP47" s="21" t="str">
        <f>IFERROR(VLOOKUP(October[[#This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21" t="str">
        <f>IFERROR(VLOOKUP(October[[#This Row],[Drug Name7]],'Data Options'!$R$1:$S$100,2,FALSE), " ")</f>
        <v xml:space="preserve"> </v>
      </c>
      <c r="AZ47" s="32"/>
      <c r="BA47" s="32"/>
      <c r="BB47" s="53"/>
      <c r="BC47" s="21" t="str">
        <f>IFERROR(VLOOKUP(October[[#This Row],[Drug Name8]],'Data Options'!$R$1:$S$100,2,FALSE), " ")</f>
        <v xml:space="preserve"> </v>
      </c>
      <c r="BD47" s="32"/>
      <c r="BE47" s="32"/>
      <c r="BF47" s="53"/>
      <c r="BG47" s="21" t="str">
        <f>IFERROR(VLOOKUP(October[[#This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21" t="str">
        <f>IFERROR(VLOOKUP(October[[#This Row],[Drug Name]],'Data Options'!$R$1:$S$100,2,FALSE), " ")</f>
        <v xml:space="preserve"> </v>
      </c>
      <c r="R48" s="32"/>
      <c r="S48" s="32"/>
      <c r="T48" s="53"/>
      <c r="U48" s="21" t="str">
        <f>IFERROR(VLOOKUP(October[[#This Row],[Drug Name2]],'Data Options'!$R$1:$S$100,2,FALSE), " ")</f>
        <v xml:space="preserve"> </v>
      </c>
      <c r="V48" s="32"/>
      <c r="W48" s="32"/>
      <c r="X48" s="53"/>
      <c r="Y48" s="21" t="str">
        <f>IFERROR(VLOOKUP(October[[#This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21" t="str">
        <f>IFERROR(VLOOKUP(October[[#This Row],[Drug Name4]],'Data Options'!$R$1:$S$100,2,FALSE), " ")</f>
        <v xml:space="preserve"> </v>
      </c>
      <c r="AI48" s="32"/>
      <c r="AJ48" s="32"/>
      <c r="AK48" s="53"/>
      <c r="AL48" s="21" t="str">
        <f>IFERROR(VLOOKUP(October[[#This Row],[Drug Name5]],'Data Options'!$R$1:$S$100,2,FALSE), " ")</f>
        <v xml:space="preserve"> </v>
      </c>
      <c r="AM48" s="32"/>
      <c r="AN48" s="32"/>
      <c r="AO48" s="53"/>
      <c r="AP48" s="21" t="str">
        <f>IFERROR(VLOOKUP(October[[#This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21" t="str">
        <f>IFERROR(VLOOKUP(October[[#This Row],[Drug Name7]],'Data Options'!$R$1:$S$100,2,FALSE), " ")</f>
        <v xml:space="preserve"> </v>
      </c>
      <c r="AZ48" s="32"/>
      <c r="BA48" s="32"/>
      <c r="BB48" s="53"/>
      <c r="BC48" s="21" t="str">
        <f>IFERROR(VLOOKUP(October[[#This Row],[Drug Name8]],'Data Options'!$R$1:$S$100,2,FALSE), " ")</f>
        <v xml:space="preserve"> </v>
      </c>
      <c r="BD48" s="32"/>
      <c r="BE48" s="32"/>
      <c r="BF48" s="53"/>
      <c r="BG48" s="21" t="str">
        <f>IFERROR(VLOOKUP(October[[#This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21" t="str">
        <f>IFERROR(VLOOKUP(October[[#This Row],[Drug Name]],'Data Options'!$R$1:$S$100,2,FALSE), " ")</f>
        <v xml:space="preserve"> </v>
      </c>
      <c r="R49" s="32"/>
      <c r="S49" s="32"/>
      <c r="T49" s="53"/>
      <c r="U49" s="21" t="str">
        <f>IFERROR(VLOOKUP(October[[#This Row],[Drug Name2]],'Data Options'!$R$1:$S$100,2,FALSE), " ")</f>
        <v xml:space="preserve"> </v>
      </c>
      <c r="V49" s="32"/>
      <c r="W49" s="32"/>
      <c r="X49" s="53"/>
      <c r="Y49" s="21" t="str">
        <f>IFERROR(VLOOKUP(October[[#This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21" t="str">
        <f>IFERROR(VLOOKUP(October[[#This Row],[Drug Name4]],'Data Options'!$R$1:$S$100,2,FALSE), " ")</f>
        <v xml:space="preserve"> </v>
      </c>
      <c r="AI49" s="32"/>
      <c r="AJ49" s="32"/>
      <c r="AK49" s="53"/>
      <c r="AL49" s="21" t="str">
        <f>IFERROR(VLOOKUP(October[[#This Row],[Drug Name5]],'Data Options'!$R$1:$S$100,2,FALSE), " ")</f>
        <v xml:space="preserve"> </v>
      </c>
      <c r="AM49" s="32"/>
      <c r="AN49" s="32"/>
      <c r="AO49" s="53"/>
      <c r="AP49" s="21" t="str">
        <f>IFERROR(VLOOKUP(October[[#This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21" t="str">
        <f>IFERROR(VLOOKUP(October[[#This Row],[Drug Name7]],'Data Options'!$R$1:$S$100,2,FALSE), " ")</f>
        <v xml:space="preserve"> </v>
      </c>
      <c r="AZ49" s="32"/>
      <c r="BA49" s="32"/>
      <c r="BB49" s="53"/>
      <c r="BC49" s="21" t="str">
        <f>IFERROR(VLOOKUP(October[[#This Row],[Drug Name8]],'Data Options'!$R$1:$S$100,2,FALSE), " ")</f>
        <v xml:space="preserve"> </v>
      </c>
      <c r="BD49" s="32"/>
      <c r="BE49" s="32"/>
      <c r="BF49" s="53"/>
      <c r="BG49" s="21" t="str">
        <f>IFERROR(VLOOKUP(October[[#This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21" t="str">
        <f>IFERROR(VLOOKUP(October[[#This Row],[Drug Name]],'Data Options'!$R$1:$S$100,2,FALSE), " ")</f>
        <v xml:space="preserve"> </v>
      </c>
      <c r="R50" s="32"/>
      <c r="S50" s="32"/>
      <c r="T50" s="53"/>
      <c r="U50" s="21" t="str">
        <f>IFERROR(VLOOKUP(October[[#This Row],[Drug Name2]],'Data Options'!$R$1:$S$100,2,FALSE), " ")</f>
        <v xml:space="preserve"> </v>
      </c>
      <c r="V50" s="32"/>
      <c r="W50" s="32"/>
      <c r="X50" s="53"/>
      <c r="Y50" s="21" t="str">
        <f>IFERROR(VLOOKUP(October[[#This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21" t="str">
        <f>IFERROR(VLOOKUP(October[[#This Row],[Drug Name4]],'Data Options'!$R$1:$S$100,2,FALSE), " ")</f>
        <v xml:space="preserve"> </v>
      </c>
      <c r="AI50" s="32"/>
      <c r="AJ50" s="32"/>
      <c r="AK50" s="53"/>
      <c r="AL50" s="21" t="str">
        <f>IFERROR(VLOOKUP(October[[#This Row],[Drug Name5]],'Data Options'!$R$1:$S$100,2,FALSE), " ")</f>
        <v xml:space="preserve"> </v>
      </c>
      <c r="AM50" s="32"/>
      <c r="AN50" s="32"/>
      <c r="AO50" s="53"/>
      <c r="AP50" s="21" t="str">
        <f>IFERROR(VLOOKUP(October[[#This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21" t="str">
        <f>IFERROR(VLOOKUP(October[[#This Row],[Drug Name7]],'Data Options'!$R$1:$S$100,2,FALSE), " ")</f>
        <v xml:space="preserve"> </v>
      </c>
      <c r="AZ50" s="32"/>
      <c r="BA50" s="32"/>
      <c r="BB50" s="53"/>
      <c r="BC50" s="21" t="str">
        <f>IFERROR(VLOOKUP(October[[#This Row],[Drug Name8]],'Data Options'!$R$1:$S$100,2,FALSE), " ")</f>
        <v xml:space="preserve"> </v>
      </c>
      <c r="BD50" s="32"/>
      <c r="BE50" s="32"/>
      <c r="BF50" s="53"/>
      <c r="BG50" s="21" t="str">
        <f>IFERROR(VLOOKUP(October[[#This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21" t="str">
        <f>IFERROR(VLOOKUP(October[[#This Row],[Drug Name]],'Data Options'!$R$1:$S$100,2,FALSE), " ")</f>
        <v xml:space="preserve"> </v>
      </c>
      <c r="R51" s="32"/>
      <c r="S51" s="32"/>
      <c r="T51" s="53"/>
      <c r="U51" s="21" t="str">
        <f>IFERROR(VLOOKUP(October[[#This Row],[Drug Name2]],'Data Options'!$R$1:$S$100,2,FALSE), " ")</f>
        <v xml:space="preserve"> </v>
      </c>
      <c r="V51" s="32"/>
      <c r="W51" s="32"/>
      <c r="X51" s="53"/>
      <c r="Y51" s="21" t="str">
        <f>IFERROR(VLOOKUP(October[[#This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21" t="str">
        <f>IFERROR(VLOOKUP(October[[#This Row],[Drug Name4]],'Data Options'!$R$1:$S$100,2,FALSE), " ")</f>
        <v xml:space="preserve"> </v>
      </c>
      <c r="AI51" s="32"/>
      <c r="AJ51" s="32"/>
      <c r="AK51" s="53"/>
      <c r="AL51" s="21" t="str">
        <f>IFERROR(VLOOKUP(October[[#This Row],[Drug Name5]],'Data Options'!$R$1:$S$100,2,FALSE), " ")</f>
        <v xml:space="preserve"> </v>
      </c>
      <c r="AM51" s="32"/>
      <c r="AN51" s="32"/>
      <c r="AO51" s="53"/>
      <c r="AP51" s="21" t="str">
        <f>IFERROR(VLOOKUP(October[[#This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21" t="str">
        <f>IFERROR(VLOOKUP(October[[#This Row],[Drug Name7]],'Data Options'!$R$1:$S$100,2,FALSE), " ")</f>
        <v xml:space="preserve"> </v>
      </c>
      <c r="AZ51" s="32"/>
      <c r="BA51" s="32"/>
      <c r="BB51" s="53"/>
      <c r="BC51" s="21" t="str">
        <f>IFERROR(VLOOKUP(October[[#This Row],[Drug Name8]],'Data Options'!$R$1:$S$100,2,FALSE), " ")</f>
        <v xml:space="preserve"> </v>
      </c>
      <c r="BD51" s="32"/>
      <c r="BE51" s="32"/>
      <c r="BF51" s="53"/>
      <c r="BG51" s="21" t="str">
        <f>IFERROR(VLOOKUP(October[[#This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21" t="str">
        <f>IFERROR(VLOOKUP(October[[#This Row],[Drug Name]],'Data Options'!$R$1:$S$100,2,FALSE), " ")</f>
        <v xml:space="preserve"> </v>
      </c>
      <c r="R52" s="32"/>
      <c r="S52" s="32"/>
      <c r="T52" s="53"/>
      <c r="U52" s="21" t="str">
        <f>IFERROR(VLOOKUP(October[[#This Row],[Drug Name2]],'Data Options'!$R$1:$S$100,2,FALSE), " ")</f>
        <v xml:space="preserve"> </v>
      </c>
      <c r="V52" s="32"/>
      <c r="W52" s="32"/>
      <c r="X52" s="53"/>
      <c r="Y52" s="21" t="str">
        <f>IFERROR(VLOOKUP(October[[#This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21" t="str">
        <f>IFERROR(VLOOKUP(October[[#This Row],[Drug Name4]],'Data Options'!$R$1:$S$100,2,FALSE), " ")</f>
        <v xml:space="preserve"> </v>
      </c>
      <c r="AI52" s="32"/>
      <c r="AJ52" s="32"/>
      <c r="AK52" s="53"/>
      <c r="AL52" s="21" t="str">
        <f>IFERROR(VLOOKUP(October[[#This Row],[Drug Name5]],'Data Options'!$R$1:$S$100,2,FALSE), " ")</f>
        <v xml:space="preserve"> </v>
      </c>
      <c r="AM52" s="32"/>
      <c r="AN52" s="32"/>
      <c r="AO52" s="53"/>
      <c r="AP52" s="21" t="str">
        <f>IFERROR(VLOOKUP(October[[#This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21" t="str">
        <f>IFERROR(VLOOKUP(October[[#This Row],[Drug Name7]],'Data Options'!$R$1:$S$100,2,FALSE), " ")</f>
        <v xml:space="preserve"> </v>
      </c>
      <c r="AZ52" s="32"/>
      <c r="BA52" s="32"/>
      <c r="BB52" s="53"/>
      <c r="BC52" s="21" t="str">
        <f>IFERROR(VLOOKUP(October[[#This Row],[Drug Name8]],'Data Options'!$R$1:$S$100,2,FALSE), " ")</f>
        <v xml:space="preserve"> </v>
      </c>
      <c r="BD52" s="32"/>
      <c r="BE52" s="32"/>
      <c r="BF52" s="53"/>
      <c r="BG52" s="21" t="str">
        <f>IFERROR(VLOOKUP(October[[#This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21" t="str">
        <f>IFERROR(VLOOKUP(October[[#This Row],[Drug Name]],'Data Options'!$R$1:$S$100,2,FALSE), " ")</f>
        <v xml:space="preserve"> </v>
      </c>
      <c r="R53" s="32"/>
      <c r="S53" s="32"/>
      <c r="T53" s="53"/>
      <c r="U53" s="21" t="str">
        <f>IFERROR(VLOOKUP(October[[#This Row],[Drug Name2]],'Data Options'!$R$1:$S$100,2,FALSE), " ")</f>
        <v xml:space="preserve"> </v>
      </c>
      <c r="V53" s="32"/>
      <c r="W53" s="32"/>
      <c r="X53" s="53"/>
      <c r="Y53" s="21" t="str">
        <f>IFERROR(VLOOKUP(October[[#This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21" t="str">
        <f>IFERROR(VLOOKUP(October[[#This Row],[Drug Name4]],'Data Options'!$R$1:$S$100,2,FALSE), " ")</f>
        <v xml:space="preserve"> </v>
      </c>
      <c r="AI53" s="32"/>
      <c r="AJ53" s="32"/>
      <c r="AK53" s="53"/>
      <c r="AL53" s="21" t="str">
        <f>IFERROR(VLOOKUP(October[[#This Row],[Drug Name5]],'Data Options'!$R$1:$S$100,2,FALSE), " ")</f>
        <v xml:space="preserve"> </v>
      </c>
      <c r="AM53" s="32"/>
      <c r="AN53" s="32"/>
      <c r="AO53" s="53"/>
      <c r="AP53" s="21" t="str">
        <f>IFERROR(VLOOKUP(October[[#This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21" t="str">
        <f>IFERROR(VLOOKUP(October[[#This Row],[Drug Name7]],'Data Options'!$R$1:$S$100,2,FALSE), " ")</f>
        <v xml:space="preserve"> </v>
      </c>
      <c r="AZ53" s="32"/>
      <c r="BA53" s="32"/>
      <c r="BB53" s="53"/>
      <c r="BC53" s="21" t="str">
        <f>IFERROR(VLOOKUP(October[[#This Row],[Drug Name8]],'Data Options'!$R$1:$S$100,2,FALSE), " ")</f>
        <v xml:space="preserve"> </v>
      </c>
      <c r="BD53" s="32"/>
      <c r="BE53" s="32"/>
      <c r="BF53" s="53"/>
      <c r="BG53" s="21" t="str">
        <f>IFERROR(VLOOKUP(October[[#This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21" t="str">
        <f>IFERROR(VLOOKUP(October[[#This Row],[Drug Name]],'Data Options'!$R$1:$S$100,2,FALSE), " ")</f>
        <v xml:space="preserve"> </v>
      </c>
      <c r="R54" s="32"/>
      <c r="S54" s="32"/>
      <c r="T54" s="53"/>
      <c r="U54" s="21" t="str">
        <f>IFERROR(VLOOKUP(October[[#This Row],[Drug Name2]],'Data Options'!$R$1:$S$100,2,FALSE), " ")</f>
        <v xml:space="preserve"> </v>
      </c>
      <c r="V54" s="32"/>
      <c r="W54" s="32"/>
      <c r="X54" s="53"/>
      <c r="Y54" s="21" t="str">
        <f>IFERROR(VLOOKUP(October[[#This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21" t="str">
        <f>IFERROR(VLOOKUP(October[[#This Row],[Drug Name4]],'Data Options'!$R$1:$S$100,2,FALSE), " ")</f>
        <v xml:space="preserve"> </v>
      </c>
      <c r="AI54" s="32"/>
      <c r="AJ54" s="32"/>
      <c r="AK54" s="53"/>
      <c r="AL54" s="21" t="str">
        <f>IFERROR(VLOOKUP(October[[#This Row],[Drug Name5]],'Data Options'!$R$1:$S$100,2,FALSE), " ")</f>
        <v xml:space="preserve"> </v>
      </c>
      <c r="AM54" s="32"/>
      <c r="AN54" s="32"/>
      <c r="AO54" s="53"/>
      <c r="AP54" s="21" t="str">
        <f>IFERROR(VLOOKUP(October[[#This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21" t="str">
        <f>IFERROR(VLOOKUP(October[[#This Row],[Drug Name7]],'Data Options'!$R$1:$S$100,2,FALSE), " ")</f>
        <v xml:space="preserve"> </v>
      </c>
      <c r="AZ54" s="32"/>
      <c r="BA54" s="32"/>
      <c r="BB54" s="53"/>
      <c r="BC54" s="21" t="str">
        <f>IFERROR(VLOOKUP(October[[#This Row],[Drug Name8]],'Data Options'!$R$1:$S$100,2,FALSE), " ")</f>
        <v xml:space="preserve"> </v>
      </c>
      <c r="BD54" s="32"/>
      <c r="BE54" s="32"/>
      <c r="BF54" s="53"/>
      <c r="BG54" s="21" t="str">
        <f>IFERROR(VLOOKUP(October[[#This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21" t="str">
        <f>IFERROR(VLOOKUP(October[[#This Row],[Drug Name]],'Data Options'!$R$1:$S$100,2,FALSE), " ")</f>
        <v xml:space="preserve"> </v>
      </c>
      <c r="R55" s="32"/>
      <c r="S55" s="32"/>
      <c r="T55" s="53"/>
      <c r="U55" s="21" t="str">
        <f>IFERROR(VLOOKUP(October[[#This Row],[Drug Name2]],'Data Options'!$R$1:$S$100,2,FALSE), " ")</f>
        <v xml:space="preserve"> </v>
      </c>
      <c r="V55" s="32"/>
      <c r="W55" s="32"/>
      <c r="X55" s="53"/>
      <c r="Y55" s="21" t="str">
        <f>IFERROR(VLOOKUP(October[[#This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21" t="str">
        <f>IFERROR(VLOOKUP(October[[#This Row],[Drug Name4]],'Data Options'!$R$1:$S$100,2,FALSE), " ")</f>
        <v xml:space="preserve"> </v>
      </c>
      <c r="AI55" s="32"/>
      <c r="AJ55" s="32"/>
      <c r="AK55" s="53"/>
      <c r="AL55" s="21" t="str">
        <f>IFERROR(VLOOKUP(October[[#This Row],[Drug Name5]],'Data Options'!$R$1:$S$100,2,FALSE), " ")</f>
        <v xml:space="preserve"> </v>
      </c>
      <c r="AM55" s="32"/>
      <c r="AN55" s="32"/>
      <c r="AO55" s="53"/>
      <c r="AP55" s="21" t="str">
        <f>IFERROR(VLOOKUP(October[[#This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21" t="str">
        <f>IFERROR(VLOOKUP(October[[#This Row],[Drug Name7]],'Data Options'!$R$1:$S$100,2,FALSE), " ")</f>
        <v xml:space="preserve"> </v>
      </c>
      <c r="AZ55" s="32"/>
      <c r="BA55" s="32"/>
      <c r="BB55" s="53"/>
      <c r="BC55" s="21" t="str">
        <f>IFERROR(VLOOKUP(October[[#This Row],[Drug Name8]],'Data Options'!$R$1:$S$100,2,FALSE), " ")</f>
        <v xml:space="preserve"> </v>
      </c>
      <c r="BD55" s="32"/>
      <c r="BE55" s="32"/>
      <c r="BF55" s="53"/>
      <c r="BG55" s="21" t="str">
        <f>IFERROR(VLOOKUP(October[[#This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21" t="str">
        <f>IFERROR(VLOOKUP(October[[#This Row],[Drug Name]],'Data Options'!$R$1:$S$100,2,FALSE), " ")</f>
        <v xml:space="preserve"> </v>
      </c>
      <c r="R56" s="32"/>
      <c r="S56" s="32"/>
      <c r="T56" s="53"/>
      <c r="U56" s="21" t="str">
        <f>IFERROR(VLOOKUP(October[[#This Row],[Drug Name2]],'Data Options'!$R$1:$S$100,2,FALSE), " ")</f>
        <v xml:space="preserve"> </v>
      </c>
      <c r="V56" s="32"/>
      <c r="W56" s="32"/>
      <c r="X56" s="53"/>
      <c r="Y56" s="21" t="str">
        <f>IFERROR(VLOOKUP(October[[#This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21" t="str">
        <f>IFERROR(VLOOKUP(October[[#This Row],[Drug Name4]],'Data Options'!$R$1:$S$100,2,FALSE), " ")</f>
        <v xml:space="preserve"> </v>
      </c>
      <c r="AI56" s="32"/>
      <c r="AJ56" s="32"/>
      <c r="AK56" s="53"/>
      <c r="AL56" s="21" t="str">
        <f>IFERROR(VLOOKUP(October[[#This Row],[Drug Name5]],'Data Options'!$R$1:$S$100,2,FALSE), " ")</f>
        <v xml:space="preserve"> </v>
      </c>
      <c r="AM56" s="32"/>
      <c r="AN56" s="32"/>
      <c r="AO56" s="53"/>
      <c r="AP56" s="21" t="str">
        <f>IFERROR(VLOOKUP(October[[#This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21" t="str">
        <f>IFERROR(VLOOKUP(October[[#This Row],[Drug Name7]],'Data Options'!$R$1:$S$100,2,FALSE), " ")</f>
        <v xml:space="preserve"> </v>
      </c>
      <c r="AZ56" s="32"/>
      <c r="BA56" s="32"/>
      <c r="BB56" s="53"/>
      <c r="BC56" s="21" t="str">
        <f>IFERROR(VLOOKUP(October[[#This Row],[Drug Name8]],'Data Options'!$R$1:$S$100,2,FALSE), " ")</f>
        <v xml:space="preserve"> </v>
      </c>
      <c r="BD56" s="32"/>
      <c r="BE56" s="32"/>
      <c r="BF56" s="53"/>
      <c r="BG56" s="21" t="str">
        <f>IFERROR(VLOOKUP(October[[#This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21" t="str">
        <f>IFERROR(VLOOKUP(October[[#This Row],[Drug Name]],'Data Options'!$R$1:$S$100,2,FALSE), " ")</f>
        <v xml:space="preserve"> </v>
      </c>
      <c r="R57" s="32"/>
      <c r="S57" s="32"/>
      <c r="T57" s="53"/>
      <c r="U57" s="21" t="str">
        <f>IFERROR(VLOOKUP(October[[#This Row],[Drug Name2]],'Data Options'!$R$1:$S$100,2,FALSE), " ")</f>
        <v xml:space="preserve"> </v>
      </c>
      <c r="V57" s="32"/>
      <c r="W57" s="32"/>
      <c r="X57" s="53"/>
      <c r="Y57" s="21" t="str">
        <f>IFERROR(VLOOKUP(October[[#This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21" t="str">
        <f>IFERROR(VLOOKUP(October[[#This Row],[Drug Name4]],'Data Options'!$R$1:$S$100,2,FALSE), " ")</f>
        <v xml:space="preserve"> </v>
      </c>
      <c r="AI57" s="32"/>
      <c r="AJ57" s="32"/>
      <c r="AK57" s="53"/>
      <c r="AL57" s="21" t="str">
        <f>IFERROR(VLOOKUP(October[[#This Row],[Drug Name5]],'Data Options'!$R$1:$S$100,2,FALSE), " ")</f>
        <v xml:space="preserve"> </v>
      </c>
      <c r="AM57" s="32"/>
      <c r="AN57" s="32"/>
      <c r="AO57" s="53"/>
      <c r="AP57" s="21" t="str">
        <f>IFERROR(VLOOKUP(October[[#This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21" t="str">
        <f>IFERROR(VLOOKUP(October[[#This Row],[Drug Name7]],'Data Options'!$R$1:$S$100,2,FALSE), " ")</f>
        <v xml:space="preserve"> </v>
      </c>
      <c r="AZ57" s="32"/>
      <c r="BA57" s="32"/>
      <c r="BB57" s="53"/>
      <c r="BC57" s="21" t="str">
        <f>IFERROR(VLOOKUP(October[[#This Row],[Drug Name8]],'Data Options'!$R$1:$S$100,2,FALSE), " ")</f>
        <v xml:space="preserve"> </v>
      </c>
      <c r="BD57" s="32"/>
      <c r="BE57" s="32"/>
      <c r="BF57" s="53"/>
      <c r="BG57" s="21" t="str">
        <f>IFERROR(VLOOKUP(October[[#This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21" t="str">
        <f>IFERROR(VLOOKUP(October[[#This Row],[Drug Name]],'Data Options'!$R$1:$S$100,2,FALSE), " ")</f>
        <v xml:space="preserve"> </v>
      </c>
      <c r="R58" s="32"/>
      <c r="S58" s="32"/>
      <c r="T58" s="53"/>
      <c r="U58" s="21" t="str">
        <f>IFERROR(VLOOKUP(October[[#This Row],[Drug Name2]],'Data Options'!$R$1:$S$100,2,FALSE), " ")</f>
        <v xml:space="preserve"> </v>
      </c>
      <c r="V58" s="32"/>
      <c r="W58" s="32"/>
      <c r="X58" s="53"/>
      <c r="Y58" s="21" t="str">
        <f>IFERROR(VLOOKUP(October[[#This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21" t="str">
        <f>IFERROR(VLOOKUP(October[[#This Row],[Drug Name4]],'Data Options'!$R$1:$S$100,2,FALSE), " ")</f>
        <v xml:space="preserve"> </v>
      </c>
      <c r="AI58" s="32"/>
      <c r="AJ58" s="32"/>
      <c r="AK58" s="53"/>
      <c r="AL58" s="21" t="str">
        <f>IFERROR(VLOOKUP(October[[#This Row],[Drug Name5]],'Data Options'!$R$1:$S$100,2,FALSE), " ")</f>
        <v xml:space="preserve"> </v>
      </c>
      <c r="AM58" s="32"/>
      <c r="AN58" s="32"/>
      <c r="AO58" s="53"/>
      <c r="AP58" s="21" t="str">
        <f>IFERROR(VLOOKUP(October[[#This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21" t="str">
        <f>IFERROR(VLOOKUP(October[[#This Row],[Drug Name7]],'Data Options'!$R$1:$S$100,2,FALSE), " ")</f>
        <v xml:space="preserve"> </v>
      </c>
      <c r="AZ58" s="32"/>
      <c r="BA58" s="32"/>
      <c r="BB58" s="53"/>
      <c r="BC58" s="21" t="str">
        <f>IFERROR(VLOOKUP(October[[#This Row],[Drug Name8]],'Data Options'!$R$1:$S$100,2,FALSE), " ")</f>
        <v xml:space="preserve"> </v>
      </c>
      <c r="BD58" s="32"/>
      <c r="BE58" s="32"/>
      <c r="BF58" s="53"/>
      <c r="BG58" s="21" t="str">
        <f>IFERROR(VLOOKUP(October[[#This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21" t="str">
        <f>IFERROR(VLOOKUP(October[[#This Row],[Drug Name]],'Data Options'!$R$1:$S$100,2,FALSE), " ")</f>
        <v xml:space="preserve"> </v>
      </c>
      <c r="R59" s="32"/>
      <c r="S59" s="32"/>
      <c r="T59" s="53"/>
      <c r="U59" s="21" t="str">
        <f>IFERROR(VLOOKUP(October[[#This Row],[Drug Name2]],'Data Options'!$R$1:$S$100,2,FALSE), " ")</f>
        <v xml:space="preserve"> </v>
      </c>
      <c r="V59" s="32"/>
      <c r="W59" s="32"/>
      <c r="X59" s="53"/>
      <c r="Y59" s="21" t="str">
        <f>IFERROR(VLOOKUP(October[[#This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21" t="str">
        <f>IFERROR(VLOOKUP(October[[#This Row],[Drug Name4]],'Data Options'!$R$1:$S$100,2,FALSE), " ")</f>
        <v xml:space="preserve"> </v>
      </c>
      <c r="AI59" s="32"/>
      <c r="AJ59" s="32"/>
      <c r="AK59" s="53"/>
      <c r="AL59" s="21" t="str">
        <f>IFERROR(VLOOKUP(October[[#This Row],[Drug Name5]],'Data Options'!$R$1:$S$100,2,FALSE), " ")</f>
        <v xml:space="preserve"> </v>
      </c>
      <c r="AM59" s="32"/>
      <c r="AN59" s="32"/>
      <c r="AO59" s="53"/>
      <c r="AP59" s="21" t="str">
        <f>IFERROR(VLOOKUP(October[[#This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21" t="str">
        <f>IFERROR(VLOOKUP(October[[#This Row],[Drug Name7]],'Data Options'!$R$1:$S$100,2,FALSE), " ")</f>
        <v xml:space="preserve"> </v>
      </c>
      <c r="AZ59" s="32"/>
      <c r="BA59" s="32"/>
      <c r="BB59" s="53"/>
      <c r="BC59" s="21" t="str">
        <f>IFERROR(VLOOKUP(October[[#This Row],[Drug Name8]],'Data Options'!$R$1:$S$100,2,FALSE), " ")</f>
        <v xml:space="preserve"> </v>
      </c>
      <c r="BD59" s="32"/>
      <c r="BE59" s="32"/>
      <c r="BF59" s="53"/>
      <c r="BG59" s="21" t="str">
        <f>IFERROR(VLOOKUP(October[[#This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21" t="str">
        <f>IFERROR(VLOOKUP(October[[#This Row],[Drug Name]],'Data Options'!$R$1:$S$100,2,FALSE), " ")</f>
        <v xml:space="preserve"> </v>
      </c>
      <c r="R60" s="32"/>
      <c r="S60" s="32"/>
      <c r="T60" s="53"/>
      <c r="U60" s="21" t="str">
        <f>IFERROR(VLOOKUP(October[[#This Row],[Drug Name2]],'Data Options'!$R$1:$S$100,2,FALSE), " ")</f>
        <v xml:space="preserve"> </v>
      </c>
      <c r="V60" s="32"/>
      <c r="W60" s="32"/>
      <c r="X60" s="53"/>
      <c r="Y60" s="21" t="str">
        <f>IFERROR(VLOOKUP(October[[#This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21" t="str">
        <f>IFERROR(VLOOKUP(October[[#This Row],[Drug Name4]],'Data Options'!$R$1:$S$100,2,FALSE), " ")</f>
        <v xml:space="preserve"> </v>
      </c>
      <c r="AI60" s="32"/>
      <c r="AJ60" s="32"/>
      <c r="AK60" s="53"/>
      <c r="AL60" s="21" t="str">
        <f>IFERROR(VLOOKUP(October[[#This Row],[Drug Name5]],'Data Options'!$R$1:$S$100,2,FALSE), " ")</f>
        <v xml:space="preserve"> </v>
      </c>
      <c r="AM60" s="32"/>
      <c r="AN60" s="32"/>
      <c r="AO60" s="53"/>
      <c r="AP60" s="21" t="str">
        <f>IFERROR(VLOOKUP(October[[#This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21" t="str">
        <f>IFERROR(VLOOKUP(October[[#This Row],[Drug Name7]],'Data Options'!$R$1:$S$100,2,FALSE), " ")</f>
        <v xml:space="preserve"> </v>
      </c>
      <c r="AZ60" s="32"/>
      <c r="BA60" s="32"/>
      <c r="BB60" s="53"/>
      <c r="BC60" s="21" t="str">
        <f>IFERROR(VLOOKUP(October[[#This Row],[Drug Name8]],'Data Options'!$R$1:$S$100,2,FALSE), " ")</f>
        <v xml:space="preserve"> </v>
      </c>
      <c r="BD60" s="32"/>
      <c r="BE60" s="32"/>
      <c r="BF60" s="53"/>
      <c r="BG60" s="21" t="str">
        <f>IFERROR(VLOOKUP(October[[#This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21" t="str">
        <f>IFERROR(VLOOKUP(October[[#This Row],[Drug Name]],'Data Options'!$R$1:$S$100,2,FALSE), " ")</f>
        <v xml:space="preserve"> </v>
      </c>
      <c r="R61" s="32"/>
      <c r="S61" s="32"/>
      <c r="T61" s="53"/>
      <c r="U61" s="21" t="str">
        <f>IFERROR(VLOOKUP(October[[#This Row],[Drug Name2]],'Data Options'!$R$1:$S$100,2,FALSE), " ")</f>
        <v xml:space="preserve"> </v>
      </c>
      <c r="V61" s="32"/>
      <c r="W61" s="32"/>
      <c r="X61" s="53"/>
      <c r="Y61" s="21" t="str">
        <f>IFERROR(VLOOKUP(October[[#This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21" t="str">
        <f>IFERROR(VLOOKUP(October[[#This Row],[Drug Name4]],'Data Options'!$R$1:$S$100,2,FALSE), " ")</f>
        <v xml:space="preserve"> </v>
      </c>
      <c r="AI61" s="32"/>
      <c r="AJ61" s="32"/>
      <c r="AK61" s="53"/>
      <c r="AL61" s="21" t="str">
        <f>IFERROR(VLOOKUP(October[[#This Row],[Drug Name5]],'Data Options'!$R$1:$S$100,2,FALSE), " ")</f>
        <v xml:space="preserve"> </v>
      </c>
      <c r="AM61" s="32"/>
      <c r="AN61" s="32"/>
      <c r="AO61" s="53"/>
      <c r="AP61" s="21" t="str">
        <f>IFERROR(VLOOKUP(October[[#This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21" t="str">
        <f>IFERROR(VLOOKUP(October[[#This Row],[Drug Name7]],'Data Options'!$R$1:$S$100,2,FALSE), " ")</f>
        <v xml:space="preserve"> </v>
      </c>
      <c r="AZ61" s="32"/>
      <c r="BA61" s="32"/>
      <c r="BB61" s="53"/>
      <c r="BC61" s="21" t="str">
        <f>IFERROR(VLOOKUP(October[[#This Row],[Drug Name8]],'Data Options'!$R$1:$S$100,2,FALSE), " ")</f>
        <v xml:space="preserve"> </v>
      </c>
      <c r="BD61" s="32"/>
      <c r="BE61" s="32"/>
      <c r="BF61" s="53"/>
      <c r="BG61" s="21" t="str">
        <f>IFERROR(VLOOKUP(October[[#This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21" t="str">
        <f>IFERROR(VLOOKUP(October[[#This Row],[Drug Name]],'Data Options'!$R$1:$S$100,2,FALSE), " ")</f>
        <v xml:space="preserve"> </v>
      </c>
      <c r="R62" s="32"/>
      <c r="S62" s="32"/>
      <c r="T62" s="53"/>
      <c r="U62" s="21" t="str">
        <f>IFERROR(VLOOKUP(October[[#This Row],[Drug Name2]],'Data Options'!$R$1:$S$100,2,FALSE), " ")</f>
        <v xml:space="preserve"> </v>
      </c>
      <c r="V62" s="32"/>
      <c r="W62" s="32"/>
      <c r="X62" s="53"/>
      <c r="Y62" s="21" t="str">
        <f>IFERROR(VLOOKUP(October[[#This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21" t="str">
        <f>IFERROR(VLOOKUP(October[[#This Row],[Drug Name4]],'Data Options'!$R$1:$S$100,2,FALSE), " ")</f>
        <v xml:space="preserve"> </v>
      </c>
      <c r="AI62" s="32"/>
      <c r="AJ62" s="32"/>
      <c r="AK62" s="53"/>
      <c r="AL62" s="21" t="str">
        <f>IFERROR(VLOOKUP(October[[#This Row],[Drug Name5]],'Data Options'!$R$1:$S$100,2,FALSE), " ")</f>
        <v xml:space="preserve"> </v>
      </c>
      <c r="AM62" s="32"/>
      <c r="AN62" s="32"/>
      <c r="AO62" s="53"/>
      <c r="AP62" s="21" t="str">
        <f>IFERROR(VLOOKUP(October[[#This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21" t="str">
        <f>IFERROR(VLOOKUP(October[[#This Row],[Drug Name7]],'Data Options'!$R$1:$S$100,2,FALSE), " ")</f>
        <v xml:space="preserve"> </v>
      </c>
      <c r="AZ62" s="32"/>
      <c r="BA62" s="32"/>
      <c r="BB62" s="53"/>
      <c r="BC62" s="21" t="str">
        <f>IFERROR(VLOOKUP(October[[#This Row],[Drug Name8]],'Data Options'!$R$1:$S$100,2,FALSE), " ")</f>
        <v xml:space="preserve"> </v>
      </c>
      <c r="BD62" s="32"/>
      <c r="BE62" s="32"/>
      <c r="BF62" s="53"/>
      <c r="BG62" s="21" t="str">
        <f>IFERROR(VLOOKUP(October[[#This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21" t="str">
        <f>IFERROR(VLOOKUP(October[[#This Row],[Drug Name]],'Data Options'!$R$1:$S$100,2,FALSE), " ")</f>
        <v xml:space="preserve"> </v>
      </c>
      <c r="R63" s="32"/>
      <c r="S63" s="32"/>
      <c r="T63" s="53"/>
      <c r="U63" s="21" t="str">
        <f>IFERROR(VLOOKUP(October[[#This Row],[Drug Name2]],'Data Options'!$R$1:$S$100,2,FALSE), " ")</f>
        <v xml:space="preserve"> </v>
      </c>
      <c r="V63" s="32"/>
      <c r="W63" s="32"/>
      <c r="X63" s="53"/>
      <c r="Y63" s="21" t="str">
        <f>IFERROR(VLOOKUP(October[[#This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21" t="str">
        <f>IFERROR(VLOOKUP(October[[#This Row],[Drug Name4]],'Data Options'!$R$1:$S$100,2,FALSE), " ")</f>
        <v xml:space="preserve"> </v>
      </c>
      <c r="AI63" s="32"/>
      <c r="AJ63" s="32"/>
      <c r="AK63" s="53"/>
      <c r="AL63" s="21" t="str">
        <f>IFERROR(VLOOKUP(October[[#This Row],[Drug Name5]],'Data Options'!$R$1:$S$100,2,FALSE), " ")</f>
        <v xml:space="preserve"> </v>
      </c>
      <c r="AM63" s="32"/>
      <c r="AN63" s="32"/>
      <c r="AO63" s="53"/>
      <c r="AP63" s="21" t="str">
        <f>IFERROR(VLOOKUP(October[[#This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21" t="str">
        <f>IFERROR(VLOOKUP(October[[#This Row],[Drug Name7]],'Data Options'!$R$1:$S$100,2,FALSE), " ")</f>
        <v xml:space="preserve"> </v>
      </c>
      <c r="AZ63" s="32"/>
      <c r="BA63" s="32"/>
      <c r="BB63" s="53"/>
      <c r="BC63" s="21" t="str">
        <f>IFERROR(VLOOKUP(October[[#This Row],[Drug Name8]],'Data Options'!$R$1:$S$100,2,FALSE), " ")</f>
        <v xml:space="preserve"> </v>
      </c>
      <c r="BD63" s="32"/>
      <c r="BE63" s="32"/>
      <c r="BF63" s="53"/>
      <c r="BG63" s="21" t="str">
        <f>IFERROR(VLOOKUP(October[[#This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21" t="str">
        <f>IFERROR(VLOOKUP(October[[#This Row],[Drug Name]],'Data Options'!$R$1:$S$100,2,FALSE), " ")</f>
        <v xml:space="preserve"> </v>
      </c>
      <c r="R64" s="32"/>
      <c r="S64" s="32"/>
      <c r="T64" s="53"/>
      <c r="U64" s="21" t="str">
        <f>IFERROR(VLOOKUP(October[[#This Row],[Drug Name2]],'Data Options'!$R$1:$S$100,2,FALSE), " ")</f>
        <v xml:space="preserve"> </v>
      </c>
      <c r="V64" s="32"/>
      <c r="W64" s="32"/>
      <c r="X64" s="53"/>
      <c r="Y64" s="21" t="str">
        <f>IFERROR(VLOOKUP(October[[#This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21" t="str">
        <f>IFERROR(VLOOKUP(October[[#This Row],[Drug Name4]],'Data Options'!$R$1:$S$100,2,FALSE), " ")</f>
        <v xml:space="preserve"> </v>
      </c>
      <c r="AI64" s="32"/>
      <c r="AJ64" s="32"/>
      <c r="AK64" s="53"/>
      <c r="AL64" s="21" t="str">
        <f>IFERROR(VLOOKUP(October[[#This Row],[Drug Name5]],'Data Options'!$R$1:$S$100,2,FALSE), " ")</f>
        <v xml:space="preserve"> </v>
      </c>
      <c r="AM64" s="32"/>
      <c r="AN64" s="32"/>
      <c r="AO64" s="53"/>
      <c r="AP64" s="21" t="str">
        <f>IFERROR(VLOOKUP(October[[#This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21" t="str">
        <f>IFERROR(VLOOKUP(October[[#This Row],[Drug Name7]],'Data Options'!$R$1:$S$100,2,FALSE), " ")</f>
        <v xml:space="preserve"> </v>
      </c>
      <c r="AZ64" s="32"/>
      <c r="BA64" s="32"/>
      <c r="BB64" s="53"/>
      <c r="BC64" s="21" t="str">
        <f>IFERROR(VLOOKUP(October[[#This Row],[Drug Name8]],'Data Options'!$R$1:$S$100,2,FALSE), " ")</f>
        <v xml:space="preserve"> </v>
      </c>
      <c r="BD64" s="32"/>
      <c r="BE64" s="32"/>
      <c r="BF64" s="53"/>
      <c r="BG64" s="21" t="str">
        <f>IFERROR(VLOOKUP(October[[#This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21" t="str">
        <f>IFERROR(VLOOKUP(October[[#This Row],[Drug Name]],'Data Options'!$R$1:$S$100,2,FALSE), " ")</f>
        <v xml:space="preserve"> </v>
      </c>
      <c r="R65" s="32"/>
      <c r="S65" s="32"/>
      <c r="T65" s="53"/>
      <c r="U65" s="21" t="str">
        <f>IFERROR(VLOOKUP(October[[#This Row],[Drug Name2]],'Data Options'!$R$1:$S$100,2,FALSE), " ")</f>
        <v xml:space="preserve"> </v>
      </c>
      <c r="V65" s="32"/>
      <c r="W65" s="32"/>
      <c r="X65" s="53"/>
      <c r="Y65" s="21" t="str">
        <f>IFERROR(VLOOKUP(October[[#This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21" t="str">
        <f>IFERROR(VLOOKUP(October[[#This Row],[Drug Name4]],'Data Options'!$R$1:$S$100,2,FALSE), " ")</f>
        <v xml:space="preserve"> </v>
      </c>
      <c r="AI65" s="32"/>
      <c r="AJ65" s="32"/>
      <c r="AK65" s="53"/>
      <c r="AL65" s="21" t="str">
        <f>IFERROR(VLOOKUP(October[[#This Row],[Drug Name5]],'Data Options'!$R$1:$S$100,2,FALSE), " ")</f>
        <v xml:space="preserve"> </v>
      </c>
      <c r="AM65" s="32"/>
      <c r="AN65" s="32"/>
      <c r="AO65" s="53"/>
      <c r="AP65" s="21" t="str">
        <f>IFERROR(VLOOKUP(October[[#This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21" t="str">
        <f>IFERROR(VLOOKUP(October[[#This Row],[Drug Name7]],'Data Options'!$R$1:$S$100,2,FALSE), " ")</f>
        <v xml:space="preserve"> </v>
      </c>
      <c r="AZ65" s="32"/>
      <c r="BA65" s="32"/>
      <c r="BB65" s="53"/>
      <c r="BC65" s="21" t="str">
        <f>IFERROR(VLOOKUP(October[[#This Row],[Drug Name8]],'Data Options'!$R$1:$S$100,2,FALSE), " ")</f>
        <v xml:space="preserve"> </v>
      </c>
      <c r="BD65" s="32"/>
      <c r="BE65" s="32"/>
      <c r="BF65" s="53"/>
      <c r="BG65" s="21" t="str">
        <f>IFERROR(VLOOKUP(October[[#This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21" t="str">
        <f>IFERROR(VLOOKUP(October[[#This Row],[Drug Name]],'Data Options'!$R$1:$S$100,2,FALSE), " ")</f>
        <v xml:space="preserve"> </v>
      </c>
      <c r="R66" s="32"/>
      <c r="S66" s="32"/>
      <c r="T66" s="53"/>
      <c r="U66" s="21" t="str">
        <f>IFERROR(VLOOKUP(October[[#This Row],[Drug Name2]],'Data Options'!$R$1:$S$100,2,FALSE), " ")</f>
        <v xml:space="preserve"> </v>
      </c>
      <c r="V66" s="32"/>
      <c r="W66" s="32"/>
      <c r="X66" s="53"/>
      <c r="Y66" s="21" t="str">
        <f>IFERROR(VLOOKUP(October[[#This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21" t="str">
        <f>IFERROR(VLOOKUP(October[[#This Row],[Drug Name4]],'Data Options'!$R$1:$S$100,2,FALSE), " ")</f>
        <v xml:space="preserve"> </v>
      </c>
      <c r="AI66" s="32"/>
      <c r="AJ66" s="32"/>
      <c r="AK66" s="53"/>
      <c r="AL66" s="21" t="str">
        <f>IFERROR(VLOOKUP(October[[#This Row],[Drug Name5]],'Data Options'!$R$1:$S$100,2,FALSE), " ")</f>
        <v xml:space="preserve"> </v>
      </c>
      <c r="AM66" s="32"/>
      <c r="AN66" s="32"/>
      <c r="AO66" s="53"/>
      <c r="AP66" s="21" t="str">
        <f>IFERROR(VLOOKUP(October[[#This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21" t="str">
        <f>IFERROR(VLOOKUP(October[[#This Row],[Drug Name7]],'Data Options'!$R$1:$S$100,2,FALSE), " ")</f>
        <v xml:space="preserve"> </v>
      </c>
      <c r="AZ66" s="32"/>
      <c r="BA66" s="32"/>
      <c r="BB66" s="53"/>
      <c r="BC66" s="21" t="str">
        <f>IFERROR(VLOOKUP(October[[#This Row],[Drug Name8]],'Data Options'!$R$1:$S$100,2,FALSE), " ")</f>
        <v xml:space="preserve"> </v>
      </c>
      <c r="BD66" s="32"/>
      <c r="BE66" s="32"/>
      <c r="BF66" s="53"/>
      <c r="BG66" s="21" t="str">
        <f>IFERROR(VLOOKUP(October[[#This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21" t="str">
        <f>IFERROR(VLOOKUP(October[[#This Row],[Drug Name]],'Data Options'!$R$1:$S$100,2,FALSE), " ")</f>
        <v xml:space="preserve"> </v>
      </c>
      <c r="R67" s="32"/>
      <c r="S67" s="32"/>
      <c r="T67" s="53"/>
      <c r="U67" s="21" t="str">
        <f>IFERROR(VLOOKUP(October[[#This Row],[Drug Name2]],'Data Options'!$R$1:$S$100,2,FALSE), " ")</f>
        <v xml:space="preserve"> </v>
      </c>
      <c r="V67" s="32"/>
      <c r="W67" s="32"/>
      <c r="X67" s="53"/>
      <c r="Y67" s="21" t="str">
        <f>IFERROR(VLOOKUP(October[[#This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21" t="str">
        <f>IFERROR(VLOOKUP(October[[#This Row],[Drug Name4]],'Data Options'!$R$1:$S$100,2,FALSE), " ")</f>
        <v xml:space="preserve"> </v>
      </c>
      <c r="AI67" s="32"/>
      <c r="AJ67" s="32"/>
      <c r="AK67" s="53"/>
      <c r="AL67" s="21" t="str">
        <f>IFERROR(VLOOKUP(October[[#This Row],[Drug Name5]],'Data Options'!$R$1:$S$100,2,FALSE), " ")</f>
        <v xml:space="preserve"> </v>
      </c>
      <c r="AM67" s="32"/>
      <c r="AN67" s="32"/>
      <c r="AO67" s="53"/>
      <c r="AP67" s="21" t="str">
        <f>IFERROR(VLOOKUP(October[[#This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21" t="str">
        <f>IFERROR(VLOOKUP(October[[#This Row],[Drug Name7]],'Data Options'!$R$1:$S$100,2,FALSE), " ")</f>
        <v xml:space="preserve"> </v>
      </c>
      <c r="AZ67" s="32"/>
      <c r="BA67" s="32"/>
      <c r="BB67" s="53"/>
      <c r="BC67" s="21" t="str">
        <f>IFERROR(VLOOKUP(October[[#This Row],[Drug Name8]],'Data Options'!$R$1:$S$100,2,FALSE), " ")</f>
        <v xml:space="preserve"> </v>
      </c>
      <c r="BD67" s="32"/>
      <c r="BE67" s="32"/>
      <c r="BF67" s="53"/>
      <c r="BG67" s="21" t="str">
        <f>IFERROR(VLOOKUP(October[[#This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21" t="str">
        <f>IFERROR(VLOOKUP(October[[#This Row],[Drug Name]],'Data Options'!$R$1:$S$100,2,FALSE), " ")</f>
        <v xml:space="preserve"> </v>
      </c>
      <c r="R68" s="32"/>
      <c r="S68" s="32"/>
      <c r="T68" s="53"/>
      <c r="U68" s="21" t="str">
        <f>IFERROR(VLOOKUP(October[[#This Row],[Drug Name2]],'Data Options'!$R$1:$S$100,2,FALSE), " ")</f>
        <v xml:space="preserve"> </v>
      </c>
      <c r="V68" s="32"/>
      <c r="W68" s="32"/>
      <c r="X68" s="53"/>
      <c r="Y68" s="21" t="str">
        <f>IFERROR(VLOOKUP(October[[#This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21" t="str">
        <f>IFERROR(VLOOKUP(October[[#This Row],[Drug Name4]],'Data Options'!$R$1:$S$100,2,FALSE), " ")</f>
        <v xml:space="preserve"> </v>
      </c>
      <c r="AI68" s="32"/>
      <c r="AJ68" s="32"/>
      <c r="AK68" s="53"/>
      <c r="AL68" s="21" t="str">
        <f>IFERROR(VLOOKUP(October[[#This Row],[Drug Name5]],'Data Options'!$R$1:$S$100,2,FALSE), " ")</f>
        <v xml:space="preserve"> </v>
      </c>
      <c r="AM68" s="32"/>
      <c r="AN68" s="32"/>
      <c r="AO68" s="53"/>
      <c r="AP68" s="21" t="str">
        <f>IFERROR(VLOOKUP(October[[#This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21" t="str">
        <f>IFERROR(VLOOKUP(October[[#This Row],[Drug Name7]],'Data Options'!$R$1:$S$100,2,FALSE), " ")</f>
        <v xml:space="preserve"> </v>
      </c>
      <c r="AZ68" s="32"/>
      <c r="BA68" s="32"/>
      <c r="BB68" s="53"/>
      <c r="BC68" s="21" t="str">
        <f>IFERROR(VLOOKUP(October[[#This Row],[Drug Name8]],'Data Options'!$R$1:$S$100,2,FALSE), " ")</f>
        <v xml:space="preserve"> </v>
      </c>
      <c r="BD68" s="32"/>
      <c r="BE68" s="32"/>
      <c r="BF68" s="53"/>
      <c r="BG68" s="21" t="str">
        <f>IFERROR(VLOOKUP(October[[#This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21" t="str">
        <f>IFERROR(VLOOKUP(October[[#This Row],[Drug Name]],'Data Options'!$R$1:$S$100,2,FALSE), " ")</f>
        <v xml:space="preserve"> </v>
      </c>
      <c r="R69" s="32"/>
      <c r="S69" s="32"/>
      <c r="T69" s="53"/>
      <c r="U69" s="21" t="str">
        <f>IFERROR(VLOOKUP(October[[#This Row],[Drug Name2]],'Data Options'!$R$1:$S$100,2,FALSE), " ")</f>
        <v xml:space="preserve"> </v>
      </c>
      <c r="V69" s="32"/>
      <c r="W69" s="32"/>
      <c r="X69" s="53"/>
      <c r="Y69" s="21" t="str">
        <f>IFERROR(VLOOKUP(October[[#This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21" t="str">
        <f>IFERROR(VLOOKUP(October[[#This Row],[Drug Name4]],'Data Options'!$R$1:$S$100,2,FALSE), " ")</f>
        <v xml:space="preserve"> </v>
      </c>
      <c r="AI69" s="32"/>
      <c r="AJ69" s="32"/>
      <c r="AK69" s="53"/>
      <c r="AL69" s="21" t="str">
        <f>IFERROR(VLOOKUP(October[[#This Row],[Drug Name5]],'Data Options'!$R$1:$S$100,2,FALSE), " ")</f>
        <v xml:space="preserve"> </v>
      </c>
      <c r="AM69" s="32"/>
      <c r="AN69" s="32"/>
      <c r="AO69" s="53"/>
      <c r="AP69" s="21" t="str">
        <f>IFERROR(VLOOKUP(October[[#This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21" t="str">
        <f>IFERROR(VLOOKUP(October[[#This Row],[Drug Name7]],'Data Options'!$R$1:$S$100,2,FALSE), " ")</f>
        <v xml:space="preserve"> </v>
      </c>
      <c r="AZ69" s="32"/>
      <c r="BA69" s="32"/>
      <c r="BB69" s="53"/>
      <c r="BC69" s="21" t="str">
        <f>IFERROR(VLOOKUP(October[[#This Row],[Drug Name8]],'Data Options'!$R$1:$S$100,2,FALSE), " ")</f>
        <v xml:space="preserve"> </v>
      </c>
      <c r="BD69" s="32"/>
      <c r="BE69" s="32"/>
      <c r="BF69" s="53"/>
      <c r="BG69" s="21" t="str">
        <f>IFERROR(VLOOKUP(October[[#This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21" t="str">
        <f>IFERROR(VLOOKUP(October[[#This Row],[Drug Name]],'Data Options'!$R$1:$S$100,2,FALSE), " ")</f>
        <v xml:space="preserve"> </v>
      </c>
      <c r="R70" s="32"/>
      <c r="S70" s="32"/>
      <c r="T70" s="53"/>
      <c r="U70" s="21" t="str">
        <f>IFERROR(VLOOKUP(October[[#This Row],[Drug Name2]],'Data Options'!$R$1:$S$100,2,FALSE), " ")</f>
        <v xml:space="preserve"> </v>
      </c>
      <c r="V70" s="32"/>
      <c r="W70" s="32"/>
      <c r="X70" s="53"/>
      <c r="Y70" s="21" t="str">
        <f>IFERROR(VLOOKUP(October[[#This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21" t="str">
        <f>IFERROR(VLOOKUP(October[[#This Row],[Drug Name4]],'Data Options'!$R$1:$S$100,2,FALSE), " ")</f>
        <v xml:space="preserve"> </v>
      </c>
      <c r="AI70" s="32"/>
      <c r="AJ70" s="32"/>
      <c r="AK70" s="53"/>
      <c r="AL70" s="21" t="str">
        <f>IFERROR(VLOOKUP(October[[#This Row],[Drug Name5]],'Data Options'!$R$1:$S$100,2,FALSE), " ")</f>
        <v xml:space="preserve"> </v>
      </c>
      <c r="AM70" s="32"/>
      <c r="AN70" s="32"/>
      <c r="AO70" s="53"/>
      <c r="AP70" s="21" t="str">
        <f>IFERROR(VLOOKUP(October[[#This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21" t="str">
        <f>IFERROR(VLOOKUP(October[[#This Row],[Drug Name7]],'Data Options'!$R$1:$S$100,2,FALSE), " ")</f>
        <v xml:space="preserve"> </v>
      </c>
      <c r="AZ70" s="32"/>
      <c r="BA70" s="32"/>
      <c r="BB70" s="53"/>
      <c r="BC70" s="21" t="str">
        <f>IFERROR(VLOOKUP(October[[#This Row],[Drug Name8]],'Data Options'!$R$1:$S$100,2,FALSE), " ")</f>
        <v xml:space="preserve"> </v>
      </c>
      <c r="BD70" s="32"/>
      <c r="BE70" s="32"/>
      <c r="BF70" s="53"/>
      <c r="BG70" s="21" t="str">
        <f>IFERROR(VLOOKUP(October[[#This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21" t="str">
        <f>IFERROR(VLOOKUP(October[[#This Row],[Drug Name]],'Data Options'!$R$1:$S$100,2,FALSE), " ")</f>
        <v xml:space="preserve"> </v>
      </c>
      <c r="R71" s="32"/>
      <c r="S71" s="32"/>
      <c r="T71" s="53"/>
      <c r="U71" s="21" t="str">
        <f>IFERROR(VLOOKUP(October[[#This Row],[Drug Name2]],'Data Options'!$R$1:$S$100,2,FALSE), " ")</f>
        <v xml:space="preserve"> </v>
      </c>
      <c r="V71" s="32"/>
      <c r="W71" s="32"/>
      <c r="X71" s="53"/>
      <c r="Y71" s="21" t="str">
        <f>IFERROR(VLOOKUP(October[[#This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21" t="str">
        <f>IFERROR(VLOOKUP(October[[#This Row],[Drug Name4]],'Data Options'!$R$1:$S$100,2,FALSE), " ")</f>
        <v xml:space="preserve"> </v>
      </c>
      <c r="AI71" s="32"/>
      <c r="AJ71" s="32"/>
      <c r="AK71" s="53"/>
      <c r="AL71" s="21" t="str">
        <f>IFERROR(VLOOKUP(October[[#This Row],[Drug Name5]],'Data Options'!$R$1:$S$100,2,FALSE), " ")</f>
        <v xml:space="preserve"> </v>
      </c>
      <c r="AM71" s="32"/>
      <c r="AN71" s="32"/>
      <c r="AO71" s="53"/>
      <c r="AP71" s="21" t="str">
        <f>IFERROR(VLOOKUP(October[[#This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21" t="str">
        <f>IFERROR(VLOOKUP(October[[#This Row],[Drug Name7]],'Data Options'!$R$1:$S$100,2,FALSE), " ")</f>
        <v xml:space="preserve"> </v>
      </c>
      <c r="AZ71" s="32"/>
      <c r="BA71" s="32"/>
      <c r="BB71" s="53"/>
      <c r="BC71" s="21" t="str">
        <f>IFERROR(VLOOKUP(October[[#This Row],[Drug Name8]],'Data Options'!$R$1:$S$100,2,FALSE), " ")</f>
        <v xml:space="preserve"> </v>
      </c>
      <c r="BD71" s="32"/>
      <c r="BE71" s="32"/>
      <c r="BF71" s="53"/>
      <c r="BG71" s="21" t="str">
        <f>IFERROR(VLOOKUP(October[[#This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21" t="str">
        <f>IFERROR(VLOOKUP(October[[#This Row],[Drug Name]],'Data Options'!$R$1:$S$100,2,FALSE), " ")</f>
        <v xml:space="preserve"> </v>
      </c>
      <c r="R72" s="32"/>
      <c r="S72" s="32"/>
      <c r="T72" s="53"/>
      <c r="U72" s="21" t="str">
        <f>IFERROR(VLOOKUP(October[[#This Row],[Drug Name2]],'Data Options'!$R$1:$S$100,2,FALSE), " ")</f>
        <v xml:space="preserve"> </v>
      </c>
      <c r="V72" s="32"/>
      <c r="W72" s="32"/>
      <c r="X72" s="53"/>
      <c r="Y72" s="21" t="str">
        <f>IFERROR(VLOOKUP(October[[#This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21" t="str">
        <f>IFERROR(VLOOKUP(October[[#This Row],[Drug Name4]],'Data Options'!$R$1:$S$100,2,FALSE), " ")</f>
        <v xml:space="preserve"> </v>
      </c>
      <c r="AI72" s="32"/>
      <c r="AJ72" s="32"/>
      <c r="AK72" s="53"/>
      <c r="AL72" s="21" t="str">
        <f>IFERROR(VLOOKUP(October[[#This Row],[Drug Name5]],'Data Options'!$R$1:$S$100,2,FALSE), " ")</f>
        <v xml:space="preserve"> </v>
      </c>
      <c r="AM72" s="32"/>
      <c r="AN72" s="32"/>
      <c r="AO72" s="53"/>
      <c r="AP72" s="21" t="str">
        <f>IFERROR(VLOOKUP(October[[#This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21" t="str">
        <f>IFERROR(VLOOKUP(October[[#This Row],[Drug Name7]],'Data Options'!$R$1:$S$100,2,FALSE), " ")</f>
        <v xml:space="preserve"> </v>
      </c>
      <c r="AZ72" s="32"/>
      <c r="BA72" s="32"/>
      <c r="BB72" s="53"/>
      <c r="BC72" s="21" t="str">
        <f>IFERROR(VLOOKUP(October[[#This Row],[Drug Name8]],'Data Options'!$R$1:$S$100,2,FALSE), " ")</f>
        <v xml:space="preserve"> </v>
      </c>
      <c r="BD72" s="32"/>
      <c r="BE72" s="32"/>
      <c r="BF72" s="53"/>
      <c r="BG72" s="21" t="str">
        <f>IFERROR(VLOOKUP(October[[#This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21" t="str">
        <f>IFERROR(VLOOKUP(October[[#This Row],[Drug Name]],'Data Options'!$R$1:$S$100,2,FALSE), " ")</f>
        <v xml:space="preserve"> </v>
      </c>
      <c r="R73" s="32"/>
      <c r="S73" s="32"/>
      <c r="T73" s="53"/>
      <c r="U73" s="21" t="str">
        <f>IFERROR(VLOOKUP(October[[#This Row],[Drug Name2]],'Data Options'!$R$1:$S$100,2,FALSE), " ")</f>
        <v xml:space="preserve"> </v>
      </c>
      <c r="V73" s="32"/>
      <c r="W73" s="32"/>
      <c r="X73" s="53"/>
      <c r="Y73" s="21" t="str">
        <f>IFERROR(VLOOKUP(October[[#This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21" t="str">
        <f>IFERROR(VLOOKUP(October[[#This Row],[Drug Name4]],'Data Options'!$R$1:$S$100,2,FALSE), " ")</f>
        <v xml:space="preserve"> </v>
      </c>
      <c r="AI73" s="32"/>
      <c r="AJ73" s="32"/>
      <c r="AK73" s="53"/>
      <c r="AL73" s="21" t="str">
        <f>IFERROR(VLOOKUP(October[[#This Row],[Drug Name5]],'Data Options'!$R$1:$S$100,2,FALSE), " ")</f>
        <v xml:space="preserve"> </v>
      </c>
      <c r="AM73" s="32"/>
      <c r="AN73" s="32"/>
      <c r="AO73" s="53"/>
      <c r="AP73" s="21" t="str">
        <f>IFERROR(VLOOKUP(October[[#This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21" t="str">
        <f>IFERROR(VLOOKUP(October[[#This Row],[Drug Name7]],'Data Options'!$R$1:$S$100,2,FALSE), " ")</f>
        <v xml:space="preserve"> </v>
      </c>
      <c r="AZ73" s="32"/>
      <c r="BA73" s="32"/>
      <c r="BB73" s="53"/>
      <c r="BC73" s="21" t="str">
        <f>IFERROR(VLOOKUP(October[[#This Row],[Drug Name8]],'Data Options'!$R$1:$S$100,2,FALSE), " ")</f>
        <v xml:space="preserve"> </v>
      </c>
      <c r="BD73" s="32"/>
      <c r="BE73" s="32"/>
      <c r="BF73" s="53"/>
      <c r="BG73" s="21" t="str">
        <f>IFERROR(VLOOKUP(October[[#This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21" t="str">
        <f>IFERROR(VLOOKUP(October[[#This Row],[Drug Name]],'Data Options'!$R$1:$S$100,2,FALSE), " ")</f>
        <v xml:space="preserve"> </v>
      </c>
      <c r="R74" s="32"/>
      <c r="S74" s="32"/>
      <c r="T74" s="53"/>
      <c r="U74" s="21" t="str">
        <f>IFERROR(VLOOKUP(October[[#This Row],[Drug Name2]],'Data Options'!$R$1:$S$100,2,FALSE), " ")</f>
        <v xml:space="preserve"> </v>
      </c>
      <c r="V74" s="32"/>
      <c r="W74" s="32"/>
      <c r="X74" s="53"/>
      <c r="Y74" s="21" t="str">
        <f>IFERROR(VLOOKUP(October[[#This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21" t="str">
        <f>IFERROR(VLOOKUP(October[[#This Row],[Drug Name4]],'Data Options'!$R$1:$S$100,2,FALSE), " ")</f>
        <v xml:space="preserve"> </v>
      </c>
      <c r="AI74" s="32"/>
      <c r="AJ74" s="32"/>
      <c r="AK74" s="53"/>
      <c r="AL74" s="21" t="str">
        <f>IFERROR(VLOOKUP(October[[#This Row],[Drug Name5]],'Data Options'!$R$1:$S$100,2,FALSE), " ")</f>
        <v xml:space="preserve"> </v>
      </c>
      <c r="AM74" s="32"/>
      <c r="AN74" s="32"/>
      <c r="AO74" s="53"/>
      <c r="AP74" s="21" t="str">
        <f>IFERROR(VLOOKUP(October[[#This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21" t="str">
        <f>IFERROR(VLOOKUP(October[[#This Row],[Drug Name7]],'Data Options'!$R$1:$S$100,2,FALSE), " ")</f>
        <v xml:space="preserve"> </v>
      </c>
      <c r="AZ74" s="32"/>
      <c r="BA74" s="32"/>
      <c r="BB74" s="53"/>
      <c r="BC74" s="21" t="str">
        <f>IFERROR(VLOOKUP(October[[#This Row],[Drug Name8]],'Data Options'!$R$1:$S$100,2,FALSE), " ")</f>
        <v xml:space="preserve"> </v>
      </c>
      <c r="BD74" s="32"/>
      <c r="BE74" s="32"/>
      <c r="BF74" s="53"/>
      <c r="BG74" s="21" t="str">
        <f>IFERROR(VLOOKUP(October[[#This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21" t="str">
        <f>IFERROR(VLOOKUP(October[[#This Row],[Drug Name]],'Data Options'!$R$1:$S$100,2,FALSE), " ")</f>
        <v xml:space="preserve"> </v>
      </c>
      <c r="R75" s="32"/>
      <c r="S75" s="32"/>
      <c r="T75" s="53"/>
      <c r="U75" s="21" t="str">
        <f>IFERROR(VLOOKUP(October[[#This Row],[Drug Name2]],'Data Options'!$R$1:$S$100,2,FALSE), " ")</f>
        <v xml:space="preserve"> </v>
      </c>
      <c r="V75" s="32"/>
      <c r="W75" s="32"/>
      <c r="X75" s="53"/>
      <c r="Y75" s="21" t="str">
        <f>IFERROR(VLOOKUP(October[[#This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21" t="str">
        <f>IFERROR(VLOOKUP(October[[#This Row],[Drug Name4]],'Data Options'!$R$1:$S$100,2,FALSE), " ")</f>
        <v xml:space="preserve"> </v>
      </c>
      <c r="AI75" s="32"/>
      <c r="AJ75" s="32"/>
      <c r="AK75" s="53"/>
      <c r="AL75" s="21" t="str">
        <f>IFERROR(VLOOKUP(October[[#This Row],[Drug Name5]],'Data Options'!$R$1:$S$100,2,FALSE), " ")</f>
        <v xml:space="preserve"> </v>
      </c>
      <c r="AM75" s="32"/>
      <c r="AN75" s="32"/>
      <c r="AO75" s="53"/>
      <c r="AP75" s="21" t="str">
        <f>IFERROR(VLOOKUP(October[[#This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21" t="str">
        <f>IFERROR(VLOOKUP(October[[#This Row],[Drug Name7]],'Data Options'!$R$1:$S$100,2,FALSE), " ")</f>
        <v xml:space="preserve"> </v>
      </c>
      <c r="AZ75" s="32"/>
      <c r="BA75" s="32"/>
      <c r="BB75" s="53"/>
      <c r="BC75" s="21" t="str">
        <f>IFERROR(VLOOKUP(October[[#This Row],[Drug Name8]],'Data Options'!$R$1:$S$100,2,FALSE), " ")</f>
        <v xml:space="preserve"> </v>
      </c>
      <c r="BD75" s="32"/>
      <c r="BE75" s="32"/>
      <c r="BF75" s="53"/>
      <c r="BG75" s="21" t="str">
        <f>IFERROR(VLOOKUP(October[[#This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21" t="str">
        <f>IFERROR(VLOOKUP(October[[#This Row],[Drug Name]],'Data Options'!$R$1:$S$100,2,FALSE), " ")</f>
        <v xml:space="preserve"> </v>
      </c>
      <c r="R76" s="32"/>
      <c r="S76" s="32"/>
      <c r="T76" s="53"/>
      <c r="U76" s="21" t="str">
        <f>IFERROR(VLOOKUP(October[[#This Row],[Drug Name2]],'Data Options'!$R$1:$S$100,2,FALSE), " ")</f>
        <v xml:space="preserve"> </v>
      </c>
      <c r="V76" s="32"/>
      <c r="W76" s="32"/>
      <c r="X76" s="53"/>
      <c r="Y76" s="21" t="str">
        <f>IFERROR(VLOOKUP(October[[#This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21" t="str">
        <f>IFERROR(VLOOKUP(October[[#This Row],[Drug Name4]],'Data Options'!$R$1:$S$100,2,FALSE), " ")</f>
        <v xml:space="preserve"> </v>
      </c>
      <c r="AI76" s="32"/>
      <c r="AJ76" s="32"/>
      <c r="AK76" s="53"/>
      <c r="AL76" s="21" t="str">
        <f>IFERROR(VLOOKUP(October[[#This Row],[Drug Name5]],'Data Options'!$R$1:$S$100,2,FALSE), " ")</f>
        <v xml:space="preserve"> </v>
      </c>
      <c r="AM76" s="32"/>
      <c r="AN76" s="32"/>
      <c r="AO76" s="53"/>
      <c r="AP76" s="21" t="str">
        <f>IFERROR(VLOOKUP(October[[#This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21" t="str">
        <f>IFERROR(VLOOKUP(October[[#This Row],[Drug Name7]],'Data Options'!$R$1:$S$100,2,FALSE), " ")</f>
        <v xml:space="preserve"> </v>
      </c>
      <c r="AZ76" s="32"/>
      <c r="BA76" s="32"/>
      <c r="BB76" s="53"/>
      <c r="BC76" s="21" t="str">
        <f>IFERROR(VLOOKUP(October[[#This Row],[Drug Name8]],'Data Options'!$R$1:$S$100,2,FALSE), " ")</f>
        <v xml:space="preserve"> </v>
      </c>
      <c r="BD76" s="32"/>
      <c r="BE76" s="32"/>
      <c r="BF76" s="53"/>
      <c r="BG76" s="21" t="str">
        <f>IFERROR(VLOOKUP(October[[#This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21" t="str">
        <f>IFERROR(VLOOKUP(October[[#This Row],[Drug Name]],'Data Options'!$R$1:$S$100,2,FALSE), " ")</f>
        <v xml:space="preserve"> </v>
      </c>
      <c r="R77" s="32"/>
      <c r="S77" s="32"/>
      <c r="T77" s="53"/>
      <c r="U77" s="21" t="str">
        <f>IFERROR(VLOOKUP(October[[#This Row],[Drug Name2]],'Data Options'!$R$1:$S$100,2,FALSE), " ")</f>
        <v xml:space="preserve"> </v>
      </c>
      <c r="V77" s="32"/>
      <c r="W77" s="32"/>
      <c r="X77" s="53"/>
      <c r="Y77" s="21" t="str">
        <f>IFERROR(VLOOKUP(October[[#This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21" t="str">
        <f>IFERROR(VLOOKUP(October[[#This Row],[Drug Name4]],'Data Options'!$R$1:$S$100,2,FALSE), " ")</f>
        <v xml:space="preserve"> </v>
      </c>
      <c r="AI77" s="32"/>
      <c r="AJ77" s="32"/>
      <c r="AK77" s="53"/>
      <c r="AL77" s="21" t="str">
        <f>IFERROR(VLOOKUP(October[[#This Row],[Drug Name5]],'Data Options'!$R$1:$S$100,2,FALSE), " ")</f>
        <v xml:space="preserve"> </v>
      </c>
      <c r="AM77" s="32"/>
      <c r="AN77" s="32"/>
      <c r="AO77" s="53"/>
      <c r="AP77" s="21" t="str">
        <f>IFERROR(VLOOKUP(October[[#This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21" t="str">
        <f>IFERROR(VLOOKUP(October[[#This Row],[Drug Name7]],'Data Options'!$R$1:$S$100,2,FALSE), " ")</f>
        <v xml:space="preserve"> </v>
      </c>
      <c r="AZ77" s="32"/>
      <c r="BA77" s="32"/>
      <c r="BB77" s="53"/>
      <c r="BC77" s="21" t="str">
        <f>IFERROR(VLOOKUP(October[[#This Row],[Drug Name8]],'Data Options'!$R$1:$S$100,2,FALSE), " ")</f>
        <v xml:space="preserve"> </v>
      </c>
      <c r="BD77" s="32"/>
      <c r="BE77" s="32"/>
      <c r="BF77" s="53"/>
      <c r="BG77" s="21" t="str">
        <f>IFERROR(VLOOKUP(October[[#This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21" t="str">
        <f>IFERROR(VLOOKUP(October[[#This Row],[Drug Name]],'Data Options'!$R$1:$S$100,2,FALSE), " ")</f>
        <v xml:space="preserve"> </v>
      </c>
      <c r="R78" s="32"/>
      <c r="S78" s="32"/>
      <c r="T78" s="53"/>
      <c r="U78" s="21" t="str">
        <f>IFERROR(VLOOKUP(October[[#This Row],[Drug Name2]],'Data Options'!$R$1:$S$100,2,FALSE), " ")</f>
        <v xml:space="preserve"> </v>
      </c>
      <c r="V78" s="32"/>
      <c r="W78" s="32"/>
      <c r="X78" s="53"/>
      <c r="Y78" s="21" t="str">
        <f>IFERROR(VLOOKUP(October[[#This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21" t="str">
        <f>IFERROR(VLOOKUP(October[[#This Row],[Drug Name4]],'Data Options'!$R$1:$S$100,2,FALSE), " ")</f>
        <v xml:space="preserve"> </v>
      </c>
      <c r="AI78" s="32"/>
      <c r="AJ78" s="32"/>
      <c r="AK78" s="53"/>
      <c r="AL78" s="21" t="str">
        <f>IFERROR(VLOOKUP(October[[#This Row],[Drug Name5]],'Data Options'!$R$1:$S$100,2,FALSE), " ")</f>
        <v xml:space="preserve"> </v>
      </c>
      <c r="AM78" s="32"/>
      <c r="AN78" s="32"/>
      <c r="AO78" s="53"/>
      <c r="AP78" s="21" t="str">
        <f>IFERROR(VLOOKUP(October[[#This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21" t="str">
        <f>IFERROR(VLOOKUP(October[[#This Row],[Drug Name7]],'Data Options'!$R$1:$S$100,2,FALSE), " ")</f>
        <v xml:space="preserve"> </v>
      </c>
      <c r="AZ78" s="32"/>
      <c r="BA78" s="32"/>
      <c r="BB78" s="53"/>
      <c r="BC78" s="21" t="str">
        <f>IFERROR(VLOOKUP(October[[#This Row],[Drug Name8]],'Data Options'!$R$1:$S$100,2,FALSE), " ")</f>
        <v xml:space="preserve"> </v>
      </c>
      <c r="BD78" s="32"/>
      <c r="BE78" s="32"/>
      <c r="BF78" s="53"/>
      <c r="BG78" s="21" t="str">
        <f>IFERROR(VLOOKUP(October[[#This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21" t="str">
        <f>IFERROR(VLOOKUP(October[[#This Row],[Drug Name]],'Data Options'!$R$1:$S$100,2,FALSE), " ")</f>
        <v xml:space="preserve"> </v>
      </c>
      <c r="R79" s="32"/>
      <c r="S79" s="32"/>
      <c r="T79" s="53"/>
      <c r="U79" s="21" t="str">
        <f>IFERROR(VLOOKUP(October[[#This Row],[Drug Name2]],'Data Options'!$R$1:$S$100,2,FALSE), " ")</f>
        <v xml:space="preserve"> </v>
      </c>
      <c r="V79" s="32"/>
      <c r="W79" s="32"/>
      <c r="X79" s="53"/>
      <c r="Y79" s="21" t="str">
        <f>IFERROR(VLOOKUP(October[[#This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21" t="str">
        <f>IFERROR(VLOOKUP(October[[#This Row],[Drug Name4]],'Data Options'!$R$1:$S$100,2,FALSE), " ")</f>
        <v xml:space="preserve"> </v>
      </c>
      <c r="AI79" s="32"/>
      <c r="AJ79" s="32"/>
      <c r="AK79" s="53"/>
      <c r="AL79" s="21" t="str">
        <f>IFERROR(VLOOKUP(October[[#This Row],[Drug Name5]],'Data Options'!$R$1:$S$100,2,FALSE), " ")</f>
        <v xml:space="preserve"> </v>
      </c>
      <c r="AM79" s="32"/>
      <c r="AN79" s="32"/>
      <c r="AO79" s="53"/>
      <c r="AP79" s="21" t="str">
        <f>IFERROR(VLOOKUP(October[[#This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21" t="str">
        <f>IFERROR(VLOOKUP(October[[#This Row],[Drug Name7]],'Data Options'!$R$1:$S$100,2,FALSE), " ")</f>
        <v xml:space="preserve"> </v>
      </c>
      <c r="AZ79" s="32"/>
      <c r="BA79" s="32"/>
      <c r="BB79" s="53"/>
      <c r="BC79" s="21" t="str">
        <f>IFERROR(VLOOKUP(October[[#This Row],[Drug Name8]],'Data Options'!$R$1:$S$100,2,FALSE), " ")</f>
        <v xml:space="preserve"> </v>
      </c>
      <c r="BD79" s="32"/>
      <c r="BE79" s="32"/>
      <c r="BF79" s="53"/>
      <c r="BG79" s="21" t="str">
        <f>IFERROR(VLOOKUP(October[[#This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21" t="str">
        <f>IFERROR(VLOOKUP(October[[#This Row],[Drug Name]],'Data Options'!$R$1:$S$100,2,FALSE), " ")</f>
        <v xml:space="preserve"> </v>
      </c>
      <c r="R80" s="32"/>
      <c r="S80" s="32"/>
      <c r="T80" s="53"/>
      <c r="U80" s="21" t="str">
        <f>IFERROR(VLOOKUP(October[[#This Row],[Drug Name2]],'Data Options'!$R$1:$S$100,2,FALSE), " ")</f>
        <v xml:space="preserve"> </v>
      </c>
      <c r="V80" s="32"/>
      <c r="W80" s="32"/>
      <c r="X80" s="53"/>
      <c r="Y80" s="21" t="str">
        <f>IFERROR(VLOOKUP(October[[#This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21" t="str">
        <f>IFERROR(VLOOKUP(October[[#This Row],[Drug Name4]],'Data Options'!$R$1:$S$100,2,FALSE), " ")</f>
        <v xml:space="preserve"> </v>
      </c>
      <c r="AI80" s="32"/>
      <c r="AJ80" s="32"/>
      <c r="AK80" s="53"/>
      <c r="AL80" s="21" t="str">
        <f>IFERROR(VLOOKUP(October[[#This Row],[Drug Name5]],'Data Options'!$R$1:$S$100,2,FALSE), " ")</f>
        <v xml:space="preserve"> </v>
      </c>
      <c r="AM80" s="32"/>
      <c r="AN80" s="32"/>
      <c r="AO80" s="53"/>
      <c r="AP80" s="21" t="str">
        <f>IFERROR(VLOOKUP(October[[#This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21" t="str">
        <f>IFERROR(VLOOKUP(October[[#This Row],[Drug Name7]],'Data Options'!$R$1:$S$100,2,FALSE), " ")</f>
        <v xml:space="preserve"> </v>
      </c>
      <c r="AZ80" s="32"/>
      <c r="BA80" s="32"/>
      <c r="BB80" s="53"/>
      <c r="BC80" s="21" t="str">
        <f>IFERROR(VLOOKUP(October[[#This Row],[Drug Name8]],'Data Options'!$R$1:$S$100,2,FALSE), " ")</f>
        <v xml:space="preserve"> </v>
      </c>
      <c r="BD80" s="32"/>
      <c r="BE80" s="32"/>
      <c r="BF80" s="53"/>
      <c r="BG80" s="21" t="str">
        <f>IFERROR(VLOOKUP(October[[#This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21" t="str">
        <f>IFERROR(VLOOKUP(October[[#This Row],[Drug Name]],'Data Options'!$R$1:$S$100,2,FALSE), " ")</f>
        <v xml:space="preserve"> </v>
      </c>
      <c r="R81" s="32"/>
      <c r="S81" s="32"/>
      <c r="T81" s="53"/>
      <c r="U81" s="21" t="str">
        <f>IFERROR(VLOOKUP(October[[#This Row],[Drug Name2]],'Data Options'!$R$1:$S$100,2,FALSE), " ")</f>
        <v xml:space="preserve"> </v>
      </c>
      <c r="V81" s="32"/>
      <c r="W81" s="32"/>
      <c r="X81" s="53"/>
      <c r="Y81" s="21" t="str">
        <f>IFERROR(VLOOKUP(October[[#This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21" t="str">
        <f>IFERROR(VLOOKUP(October[[#This Row],[Drug Name4]],'Data Options'!$R$1:$S$100,2,FALSE), " ")</f>
        <v xml:space="preserve"> </v>
      </c>
      <c r="AI81" s="32"/>
      <c r="AJ81" s="32"/>
      <c r="AK81" s="53"/>
      <c r="AL81" s="21" t="str">
        <f>IFERROR(VLOOKUP(October[[#This Row],[Drug Name5]],'Data Options'!$R$1:$S$100,2,FALSE), " ")</f>
        <v xml:space="preserve"> </v>
      </c>
      <c r="AM81" s="32"/>
      <c r="AN81" s="32"/>
      <c r="AO81" s="53"/>
      <c r="AP81" s="21" t="str">
        <f>IFERROR(VLOOKUP(October[[#This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21" t="str">
        <f>IFERROR(VLOOKUP(October[[#This Row],[Drug Name7]],'Data Options'!$R$1:$S$100,2,FALSE), " ")</f>
        <v xml:space="preserve"> </v>
      </c>
      <c r="AZ81" s="32"/>
      <c r="BA81" s="32"/>
      <c r="BB81" s="53"/>
      <c r="BC81" s="21" t="str">
        <f>IFERROR(VLOOKUP(October[[#This Row],[Drug Name8]],'Data Options'!$R$1:$S$100,2,FALSE), " ")</f>
        <v xml:space="preserve"> </v>
      </c>
      <c r="BD81" s="32"/>
      <c r="BE81" s="32"/>
      <c r="BF81" s="53"/>
      <c r="BG81" s="21" t="str">
        <f>IFERROR(VLOOKUP(October[[#This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21" t="str">
        <f>IFERROR(VLOOKUP(October[[#This Row],[Drug Name]],'Data Options'!$R$1:$S$100,2,FALSE), " ")</f>
        <v xml:space="preserve"> </v>
      </c>
      <c r="R82" s="32"/>
      <c r="S82" s="32"/>
      <c r="T82" s="53"/>
      <c r="U82" s="21" t="str">
        <f>IFERROR(VLOOKUP(October[[#This Row],[Drug Name2]],'Data Options'!$R$1:$S$100,2,FALSE), " ")</f>
        <v xml:space="preserve"> </v>
      </c>
      <c r="V82" s="32"/>
      <c r="W82" s="32"/>
      <c r="X82" s="53"/>
      <c r="Y82" s="21" t="str">
        <f>IFERROR(VLOOKUP(October[[#This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21" t="str">
        <f>IFERROR(VLOOKUP(October[[#This Row],[Drug Name4]],'Data Options'!$R$1:$S$100,2,FALSE), " ")</f>
        <v xml:space="preserve"> </v>
      </c>
      <c r="AI82" s="32"/>
      <c r="AJ82" s="32"/>
      <c r="AK82" s="53"/>
      <c r="AL82" s="21" t="str">
        <f>IFERROR(VLOOKUP(October[[#This Row],[Drug Name5]],'Data Options'!$R$1:$S$100,2,FALSE), " ")</f>
        <v xml:space="preserve"> </v>
      </c>
      <c r="AM82" s="32"/>
      <c r="AN82" s="32"/>
      <c r="AO82" s="53"/>
      <c r="AP82" s="21" t="str">
        <f>IFERROR(VLOOKUP(October[[#This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21" t="str">
        <f>IFERROR(VLOOKUP(October[[#This Row],[Drug Name7]],'Data Options'!$R$1:$S$100,2,FALSE), " ")</f>
        <v xml:space="preserve"> </v>
      </c>
      <c r="AZ82" s="32"/>
      <c r="BA82" s="32"/>
      <c r="BB82" s="53"/>
      <c r="BC82" s="21" t="str">
        <f>IFERROR(VLOOKUP(October[[#This Row],[Drug Name8]],'Data Options'!$R$1:$S$100,2,FALSE), " ")</f>
        <v xml:space="preserve"> </v>
      </c>
      <c r="BD82" s="32"/>
      <c r="BE82" s="32"/>
      <c r="BF82" s="53"/>
      <c r="BG82" s="21" t="str">
        <f>IFERROR(VLOOKUP(October[[#This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21" t="str">
        <f>IFERROR(VLOOKUP(October[[#This Row],[Drug Name]],'Data Options'!$R$1:$S$100,2,FALSE), " ")</f>
        <v xml:space="preserve"> </v>
      </c>
      <c r="R83" s="32"/>
      <c r="S83" s="32"/>
      <c r="T83" s="53"/>
      <c r="U83" s="21" t="str">
        <f>IFERROR(VLOOKUP(October[[#This Row],[Drug Name2]],'Data Options'!$R$1:$S$100,2,FALSE), " ")</f>
        <v xml:space="preserve"> </v>
      </c>
      <c r="V83" s="32"/>
      <c r="W83" s="32"/>
      <c r="X83" s="53"/>
      <c r="Y83" s="21" t="str">
        <f>IFERROR(VLOOKUP(October[[#This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21" t="str">
        <f>IFERROR(VLOOKUP(October[[#This Row],[Drug Name4]],'Data Options'!$R$1:$S$100,2,FALSE), " ")</f>
        <v xml:space="preserve"> </v>
      </c>
      <c r="AI83" s="32"/>
      <c r="AJ83" s="32"/>
      <c r="AK83" s="53"/>
      <c r="AL83" s="21" t="str">
        <f>IFERROR(VLOOKUP(October[[#This Row],[Drug Name5]],'Data Options'!$R$1:$S$100,2,FALSE), " ")</f>
        <v xml:space="preserve"> </v>
      </c>
      <c r="AM83" s="32"/>
      <c r="AN83" s="32"/>
      <c r="AO83" s="53"/>
      <c r="AP83" s="21" t="str">
        <f>IFERROR(VLOOKUP(October[[#This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21" t="str">
        <f>IFERROR(VLOOKUP(October[[#This Row],[Drug Name7]],'Data Options'!$R$1:$S$100,2,FALSE), " ")</f>
        <v xml:space="preserve"> </v>
      </c>
      <c r="AZ83" s="32"/>
      <c r="BA83" s="32"/>
      <c r="BB83" s="53"/>
      <c r="BC83" s="21" t="str">
        <f>IFERROR(VLOOKUP(October[[#This Row],[Drug Name8]],'Data Options'!$R$1:$S$100,2,FALSE), " ")</f>
        <v xml:space="preserve"> </v>
      </c>
      <c r="BD83" s="32"/>
      <c r="BE83" s="32"/>
      <c r="BF83" s="53"/>
      <c r="BG83" s="21" t="str">
        <f>IFERROR(VLOOKUP(October[[#This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21" t="str">
        <f>IFERROR(VLOOKUP(October[[#This Row],[Drug Name]],'Data Options'!$R$1:$S$100,2,FALSE), " ")</f>
        <v xml:space="preserve"> </v>
      </c>
      <c r="R84" s="32"/>
      <c r="S84" s="32"/>
      <c r="T84" s="53"/>
      <c r="U84" s="21" t="str">
        <f>IFERROR(VLOOKUP(October[[#This Row],[Drug Name2]],'Data Options'!$R$1:$S$100,2,FALSE), " ")</f>
        <v xml:space="preserve"> </v>
      </c>
      <c r="V84" s="32"/>
      <c r="W84" s="32"/>
      <c r="X84" s="53"/>
      <c r="Y84" s="21" t="str">
        <f>IFERROR(VLOOKUP(October[[#This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21" t="str">
        <f>IFERROR(VLOOKUP(October[[#This Row],[Drug Name4]],'Data Options'!$R$1:$S$100,2,FALSE), " ")</f>
        <v xml:space="preserve"> </v>
      </c>
      <c r="AI84" s="32"/>
      <c r="AJ84" s="32"/>
      <c r="AK84" s="53"/>
      <c r="AL84" s="21" t="str">
        <f>IFERROR(VLOOKUP(October[[#This Row],[Drug Name5]],'Data Options'!$R$1:$S$100,2,FALSE), " ")</f>
        <v xml:space="preserve"> </v>
      </c>
      <c r="AM84" s="32"/>
      <c r="AN84" s="32"/>
      <c r="AO84" s="53"/>
      <c r="AP84" s="21" t="str">
        <f>IFERROR(VLOOKUP(October[[#This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21" t="str">
        <f>IFERROR(VLOOKUP(October[[#This Row],[Drug Name7]],'Data Options'!$R$1:$S$100,2,FALSE), " ")</f>
        <v xml:space="preserve"> </v>
      </c>
      <c r="AZ84" s="32"/>
      <c r="BA84" s="32"/>
      <c r="BB84" s="53"/>
      <c r="BC84" s="21" t="str">
        <f>IFERROR(VLOOKUP(October[[#This Row],[Drug Name8]],'Data Options'!$R$1:$S$100,2,FALSE), " ")</f>
        <v xml:space="preserve"> </v>
      </c>
      <c r="BD84" s="32"/>
      <c r="BE84" s="32"/>
      <c r="BF84" s="53"/>
      <c r="BG84" s="21" t="str">
        <f>IFERROR(VLOOKUP(October[[#This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21" t="str">
        <f>IFERROR(VLOOKUP(October[[#This Row],[Drug Name]],'Data Options'!$R$1:$S$100,2,FALSE), " ")</f>
        <v xml:space="preserve"> </v>
      </c>
      <c r="R85" s="32"/>
      <c r="S85" s="32"/>
      <c r="T85" s="53"/>
      <c r="U85" s="21" t="str">
        <f>IFERROR(VLOOKUP(October[[#This Row],[Drug Name2]],'Data Options'!$R$1:$S$100,2,FALSE), " ")</f>
        <v xml:space="preserve"> </v>
      </c>
      <c r="V85" s="32"/>
      <c r="W85" s="32"/>
      <c r="X85" s="53"/>
      <c r="Y85" s="21" t="str">
        <f>IFERROR(VLOOKUP(October[[#This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21" t="str">
        <f>IFERROR(VLOOKUP(October[[#This Row],[Drug Name4]],'Data Options'!$R$1:$S$100,2,FALSE), " ")</f>
        <v xml:space="preserve"> </v>
      </c>
      <c r="AI85" s="32"/>
      <c r="AJ85" s="32"/>
      <c r="AK85" s="53"/>
      <c r="AL85" s="21" t="str">
        <f>IFERROR(VLOOKUP(October[[#This Row],[Drug Name5]],'Data Options'!$R$1:$S$100,2,FALSE), " ")</f>
        <v xml:space="preserve"> </v>
      </c>
      <c r="AM85" s="32"/>
      <c r="AN85" s="32"/>
      <c r="AO85" s="53"/>
      <c r="AP85" s="21" t="str">
        <f>IFERROR(VLOOKUP(October[[#This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21" t="str">
        <f>IFERROR(VLOOKUP(October[[#This Row],[Drug Name7]],'Data Options'!$R$1:$S$100,2,FALSE), " ")</f>
        <v xml:space="preserve"> </v>
      </c>
      <c r="AZ85" s="32"/>
      <c r="BA85" s="32"/>
      <c r="BB85" s="53"/>
      <c r="BC85" s="21" t="str">
        <f>IFERROR(VLOOKUP(October[[#This Row],[Drug Name8]],'Data Options'!$R$1:$S$100,2,FALSE), " ")</f>
        <v xml:space="preserve"> </v>
      </c>
      <c r="BD85" s="32"/>
      <c r="BE85" s="32"/>
      <c r="BF85" s="53"/>
      <c r="BG85" s="21" t="str">
        <f>IFERROR(VLOOKUP(October[[#This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21" t="str">
        <f>IFERROR(VLOOKUP(October[[#This Row],[Drug Name]],'Data Options'!$R$1:$S$100,2,FALSE), " ")</f>
        <v xml:space="preserve"> </v>
      </c>
      <c r="R86" s="32"/>
      <c r="S86" s="32"/>
      <c r="T86" s="53"/>
      <c r="U86" s="21" t="str">
        <f>IFERROR(VLOOKUP(October[[#This Row],[Drug Name2]],'Data Options'!$R$1:$S$100,2,FALSE), " ")</f>
        <v xml:space="preserve"> </v>
      </c>
      <c r="V86" s="32"/>
      <c r="W86" s="32"/>
      <c r="X86" s="53"/>
      <c r="Y86" s="21" t="str">
        <f>IFERROR(VLOOKUP(October[[#This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21" t="str">
        <f>IFERROR(VLOOKUP(October[[#This Row],[Drug Name4]],'Data Options'!$R$1:$S$100,2,FALSE), " ")</f>
        <v xml:space="preserve"> </v>
      </c>
      <c r="AI86" s="32"/>
      <c r="AJ86" s="32"/>
      <c r="AK86" s="53"/>
      <c r="AL86" s="21" t="str">
        <f>IFERROR(VLOOKUP(October[[#This Row],[Drug Name5]],'Data Options'!$R$1:$S$100,2,FALSE), " ")</f>
        <v xml:space="preserve"> </v>
      </c>
      <c r="AM86" s="32"/>
      <c r="AN86" s="32"/>
      <c r="AO86" s="53"/>
      <c r="AP86" s="21" t="str">
        <f>IFERROR(VLOOKUP(October[[#This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21" t="str">
        <f>IFERROR(VLOOKUP(October[[#This Row],[Drug Name7]],'Data Options'!$R$1:$S$100,2,FALSE), " ")</f>
        <v xml:space="preserve"> </v>
      </c>
      <c r="AZ86" s="32"/>
      <c r="BA86" s="32"/>
      <c r="BB86" s="53"/>
      <c r="BC86" s="21" t="str">
        <f>IFERROR(VLOOKUP(October[[#This Row],[Drug Name8]],'Data Options'!$R$1:$S$100,2,FALSE), " ")</f>
        <v xml:space="preserve"> </v>
      </c>
      <c r="BD86" s="32"/>
      <c r="BE86" s="32"/>
      <c r="BF86" s="53"/>
      <c r="BG86" s="21" t="str">
        <f>IFERROR(VLOOKUP(October[[#This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21" t="str">
        <f>IFERROR(VLOOKUP(October[[#This Row],[Drug Name]],'Data Options'!$R$1:$S$100,2,FALSE), " ")</f>
        <v xml:space="preserve"> </v>
      </c>
      <c r="R87" s="32"/>
      <c r="S87" s="32"/>
      <c r="T87" s="53"/>
      <c r="U87" s="21" t="str">
        <f>IFERROR(VLOOKUP(October[[#This Row],[Drug Name2]],'Data Options'!$R$1:$S$100,2,FALSE), " ")</f>
        <v xml:space="preserve"> </v>
      </c>
      <c r="V87" s="32"/>
      <c r="W87" s="32"/>
      <c r="X87" s="53"/>
      <c r="Y87" s="21" t="str">
        <f>IFERROR(VLOOKUP(October[[#This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21" t="str">
        <f>IFERROR(VLOOKUP(October[[#This Row],[Drug Name4]],'Data Options'!$R$1:$S$100,2,FALSE), " ")</f>
        <v xml:space="preserve"> </v>
      </c>
      <c r="AI87" s="32"/>
      <c r="AJ87" s="32"/>
      <c r="AK87" s="53"/>
      <c r="AL87" s="21" t="str">
        <f>IFERROR(VLOOKUP(October[[#This Row],[Drug Name5]],'Data Options'!$R$1:$S$100,2,FALSE), " ")</f>
        <v xml:space="preserve"> </v>
      </c>
      <c r="AM87" s="32"/>
      <c r="AN87" s="32"/>
      <c r="AO87" s="53"/>
      <c r="AP87" s="21" t="str">
        <f>IFERROR(VLOOKUP(October[[#This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21" t="str">
        <f>IFERROR(VLOOKUP(October[[#This Row],[Drug Name7]],'Data Options'!$R$1:$S$100,2,FALSE), " ")</f>
        <v xml:space="preserve"> </v>
      </c>
      <c r="AZ87" s="32"/>
      <c r="BA87" s="32"/>
      <c r="BB87" s="53"/>
      <c r="BC87" s="21" t="str">
        <f>IFERROR(VLOOKUP(October[[#This Row],[Drug Name8]],'Data Options'!$R$1:$S$100,2,FALSE), " ")</f>
        <v xml:space="preserve"> </v>
      </c>
      <c r="BD87" s="32"/>
      <c r="BE87" s="32"/>
      <c r="BF87" s="53"/>
      <c r="BG87" s="21" t="str">
        <f>IFERROR(VLOOKUP(October[[#This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21" t="str">
        <f>IFERROR(VLOOKUP(October[[#This Row],[Drug Name]],'Data Options'!$R$1:$S$100,2,FALSE), " ")</f>
        <v xml:space="preserve"> </v>
      </c>
      <c r="R88" s="32"/>
      <c r="S88" s="32"/>
      <c r="T88" s="53"/>
      <c r="U88" s="21" t="str">
        <f>IFERROR(VLOOKUP(October[[#This Row],[Drug Name2]],'Data Options'!$R$1:$S$100,2,FALSE), " ")</f>
        <v xml:space="preserve"> </v>
      </c>
      <c r="V88" s="32"/>
      <c r="W88" s="32"/>
      <c r="X88" s="53"/>
      <c r="Y88" s="21" t="str">
        <f>IFERROR(VLOOKUP(October[[#This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21" t="str">
        <f>IFERROR(VLOOKUP(October[[#This Row],[Drug Name4]],'Data Options'!$R$1:$S$100,2,FALSE), " ")</f>
        <v xml:space="preserve"> </v>
      </c>
      <c r="AI88" s="32"/>
      <c r="AJ88" s="32"/>
      <c r="AK88" s="53"/>
      <c r="AL88" s="21" t="str">
        <f>IFERROR(VLOOKUP(October[[#This Row],[Drug Name5]],'Data Options'!$R$1:$S$100,2,FALSE), " ")</f>
        <v xml:space="preserve"> </v>
      </c>
      <c r="AM88" s="32"/>
      <c r="AN88" s="32"/>
      <c r="AO88" s="53"/>
      <c r="AP88" s="21" t="str">
        <f>IFERROR(VLOOKUP(October[[#This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21" t="str">
        <f>IFERROR(VLOOKUP(October[[#This Row],[Drug Name7]],'Data Options'!$R$1:$S$100,2,FALSE), " ")</f>
        <v xml:space="preserve"> </v>
      </c>
      <c r="AZ88" s="32"/>
      <c r="BA88" s="32"/>
      <c r="BB88" s="53"/>
      <c r="BC88" s="21" t="str">
        <f>IFERROR(VLOOKUP(October[[#This Row],[Drug Name8]],'Data Options'!$R$1:$S$100,2,FALSE), " ")</f>
        <v xml:space="preserve"> </v>
      </c>
      <c r="BD88" s="32"/>
      <c r="BE88" s="32"/>
      <c r="BF88" s="53"/>
      <c r="BG88" s="21" t="str">
        <f>IFERROR(VLOOKUP(October[[#This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21" t="str">
        <f>IFERROR(VLOOKUP(October[[#This Row],[Drug Name]],'Data Options'!$R$1:$S$100,2,FALSE), " ")</f>
        <v xml:space="preserve"> </v>
      </c>
      <c r="R89" s="32"/>
      <c r="S89" s="32"/>
      <c r="T89" s="53"/>
      <c r="U89" s="21" t="str">
        <f>IFERROR(VLOOKUP(October[[#This Row],[Drug Name2]],'Data Options'!$R$1:$S$100,2,FALSE), " ")</f>
        <v xml:space="preserve"> </v>
      </c>
      <c r="V89" s="32"/>
      <c r="W89" s="32"/>
      <c r="X89" s="53"/>
      <c r="Y89" s="21" t="str">
        <f>IFERROR(VLOOKUP(October[[#This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21" t="str">
        <f>IFERROR(VLOOKUP(October[[#This Row],[Drug Name4]],'Data Options'!$R$1:$S$100,2,FALSE), " ")</f>
        <v xml:space="preserve"> </v>
      </c>
      <c r="AI89" s="32"/>
      <c r="AJ89" s="32"/>
      <c r="AK89" s="53"/>
      <c r="AL89" s="21" t="str">
        <f>IFERROR(VLOOKUP(October[[#This Row],[Drug Name5]],'Data Options'!$R$1:$S$100,2,FALSE), " ")</f>
        <v xml:space="preserve"> </v>
      </c>
      <c r="AM89" s="32"/>
      <c r="AN89" s="32"/>
      <c r="AO89" s="53"/>
      <c r="AP89" s="21" t="str">
        <f>IFERROR(VLOOKUP(October[[#This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21" t="str">
        <f>IFERROR(VLOOKUP(October[[#This Row],[Drug Name7]],'Data Options'!$R$1:$S$100,2,FALSE), " ")</f>
        <v xml:space="preserve"> </v>
      </c>
      <c r="AZ89" s="32"/>
      <c r="BA89" s="32"/>
      <c r="BB89" s="53"/>
      <c r="BC89" s="21" t="str">
        <f>IFERROR(VLOOKUP(October[[#This Row],[Drug Name8]],'Data Options'!$R$1:$S$100,2,FALSE), " ")</f>
        <v xml:space="preserve"> </v>
      </c>
      <c r="BD89" s="32"/>
      <c r="BE89" s="32"/>
      <c r="BF89" s="53"/>
      <c r="BG89" s="21" t="str">
        <f>IFERROR(VLOOKUP(October[[#This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21" t="str">
        <f>IFERROR(VLOOKUP(October[[#This Row],[Drug Name]],'Data Options'!$R$1:$S$100,2,FALSE), " ")</f>
        <v xml:space="preserve"> </v>
      </c>
      <c r="R90" s="32"/>
      <c r="S90" s="32"/>
      <c r="T90" s="53"/>
      <c r="U90" s="21" t="str">
        <f>IFERROR(VLOOKUP(October[[#This Row],[Drug Name2]],'Data Options'!$R$1:$S$100,2,FALSE), " ")</f>
        <v xml:space="preserve"> </v>
      </c>
      <c r="V90" s="32"/>
      <c r="W90" s="32"/>
      <c r="X90" s="53"/>
      <c r="Y90" s="21" t="str">
        <f>IFERROR(VLOOKUP(October[[#This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21" t="str">
        <f>IFERROR(VLOOKUP(October[[#This Row],[Drug Name4]],'Data Options'!$R$1:$S$100,2,FALSE), " ")</f>
        <v xml:space="preserve"> </v>
      </c>
      <c r="AI90" s="32"/>
      <c r="AJ90" s="32"/>
      <c r="AK90" s="53"/>
      <c r="AL90" s="21" t="str">
        <f>IFERROR(VLOOKUP(October[[#This Row],[Drug Name5]],'Data Options'!$R$1:$S$100,2,FALSE), " ")</f>
        <v xml:space="preserve"> </v>
      </c>
      <c r="AM90" s="32"/>
      <c r="AN90" s="32"/>
      <c r="AO90" s="53"/>
      <c r="AP90" s="21" t="str">
        <f>IFERROR(VLOOKUP(October[[#This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21" t="str">
        <f>IFERROR(VLOOKUP(October[[#This Row],[Drug Name7]],'Data Options'!$R$1:$S$100,2,FALSE), " ")</f>
        <v xml:space="preserve"> </v>
      </c>
      <c r="AZ90" s="32"/>
      <c r="BA90" s="32"/>
      <c r="BB90" s="53"/>
      <c r="BC90" s="21" t="str">
        <f>IFERROR(VLOOKUP(October[[#This Row],[Drug Name8]],'Data Options'!$R$1:$S$100,2,FALSE), " ")</f>
        <v xml:space="preserve"> </v>
      </c>
      <c r="BD90" s="32"/>
      <c r="BE90" s="32"/>
      <c r="BF90" s="53"/>
      <c r="BG90" s="21" t="str">
        <f>IFERROR(VLOOKUP(October[[#This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21" t="str">
        <f>IFERROR(VLOOKUP(October[[#This Row],[Drug Name]],'Data Options'!$R$1:$S$100,2,FALSE), " ")</f>
        <v xml:space="preserve"> </v>
      </c>
      <c r="R91" s="32"/>
      <c r="S91" s="32"/>
      <c r="T91" s="53"/>
      <c r="U91" s="21" t="str">
        <f>IFERROR(VLOOKUP(October[[#This Row],[Drug Name2]],'Data Options'!$R$1:$S$100,2,FALSE), " ")</f>
        <v xml:space="preserve"> </v>
      </c>
      <c r="V91" s="32"/>
      <c r="W91" s="32"/>
      <c r="X91" s="53"/>
      <c r="Y91" s="21" t="str">
        <f>IFERROR(VLOOKUP(October[[#This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21" t="str">
        <f>IFERROR(VLOOKUP(October[[#This Row],[Drug Name4]],'Data Options'!$R$1:$S$100,2,FALSE), " ")</f>
        <v xml:space="preserve"> </v>
      </c>
      <c r="AI91" s="32"/>
      <c r="AJ91" s="32"/>
      <c r="AK91" s="53"/>
      <c r="AL91" s="21" t="str">
        <f>IFERROR(VLOOKUP(October[[#This Row],[Drug Name5]],'Data Options'!$R$1:$S$100,2,FALSE), " ")</f>
        <v xml:space="preserve"> </v>
      </c>
      <c r="AM91" s="32"/>
      <c r="AN91" s="32"/>
      <c r="AO91" s="53"/>
      <c r="AP91" s="21" t="str">
        <f>IFERROR(VLOOKUP(October[[#This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21" t="str">
        <f>IFERROR(VLOOKUP(October[[#This Row],[Drug Name7]],'Data Options'!$R$1:$S$100,2,FALSE), " ")</f>
        <v xml:space="preserve"> </v>
      </c>
      <c r="AZ91" s="32"/>
      <c r="BA91" s="32"/>
      <c r="BB91" s="53"/>
      <c r="BC91" s="21" t="str">
        <f>IFERROR(VLOOKUP(October[[#This Row],[Drug Name8]],'Data Options'!$R$1:$S$100,2,FALSE), " ")</f>
        <v xml:space="preserve"> </v>
      </c>
      <c r="BD91" s="32"/>
      <c r="BE91" s="32"/>
      <c r="BF91" s="53"/>
      <c r="BG91" s="21" t="str">
        <f>IFERROR(VLOOKUP(October[[#This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21" t="str">
        <f>IFERROR(VLOOKUP(October[[#This Row],[Drug Name]],'Data Options'!$R$1:$S$100,2,FALSE), " ")</f>
        <v xml:space="preserve"> </v>
      </c>
      <c r="R92" s="32"/>
      <c r="S92" s="32"/>
      <c r="T92" s="53"/>
      <c r="U92" s="21" t="str">
        <f>IFERROR(VLOOKUP(October[[#This Row],[Drug Name2]],'Data Options'!$R$1:$S$100,2,FALSE), " ")</f>
        <v xml:space="preserve"> </v>
      </c>
      <c r="V92" s="32"/>
      <c r="W92" s="32"/>
      <c r="X92" s="53"/>
      <c r="Y92" s="21" t="str">
        <f>IFERROR(VLOOKUP(October[[#This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21" t="str">
        <f>IFERROR(VLOOKUP(October[[#This Row],[Drug Name4]],'Data Options'!$R$1:$S$100,2,FALSE), " ")</f>
        <v xml:space="preserve"> </v>
      </c>
      <c r="AI92" s="32"/>
      <c r="AJ92" s="32"/>
      <c r="AK92" s="53"/>
      <c r="AL92" s="21" t="str">
        <f>IFERROR(VLOOKUP(October[[#This Row],[Drug Name5]],'Data Options'!$R$1:$S$100,2,FALSE), " ")</f>
        <v xml:space="preserve"> </v>
      </c>
      <c r="AM92" s="32"/>
      <c r="AN92" s="32"/>
      <c r="AO92" s="53"/>
      <c r="AP92" s="21" t="str">
        <f>IFERROR(VLOOKUP(October[[#This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21" t="str">
        <f>IFERROR(VLOOKUP(October[[#This Row],[Drug Name7]],'Data Options'!$R$1:$S$100,2,FALSE), " ")</f>
        <v xml:space="preserve"> </v>
      </c>
      <c r="AZ92" s="32"/>
      <c r="BA92" s="32"/>
      <c r="BB92" s="53"/>
      <c r="BC92" s="21" t="str">
        <f>IFERROR(VLOOKUP(October[[#This Row],[Drug Name8]],'Data Options'!$R$1:$S$100,2,FALSE), " ")</f>
        <v xml:space="preserve"> </v>
      </c>
      <c r="BD92" s="32"/>
      <c r="BE92" s="32"/>
      <c r="BF92" s="53"/>
      <c r="BG92" s="21" t="str">
        <f>IFERROR(VLOOKUP(October[[#This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21" t="str">
        <f>IFERROR(VLOOKUP(October[[#This Row],[Drug Name]],'Data Options'!$R$1:$S$100,2,FALSE), " ")</f>
        <v xml:space="preserve"> </v>
      </c>
      <c r="R93" s="32"/>
      <c r="S93" s="32"/>
      <c r="T93" s="53"/>
      <c r="U93" s="21" t="str">
        <f>IFERROR(VLOOKUP(October[[#This Row],[Drug Name2]],'Data Options'!$R$1:$S$100,2,FALSE), " ")</f>
        <v xml:space="preserve"> </v>
      </c>
      <c r="V93" s="32"/>
      <c r="W93" s="32"/>
      <c r="X93" s="53"/>
      <c r="Y93" s="21" t="str">
        <f>IFERROR(VLOOKUP(October[[#This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21" t="str">
        <f>IFERROR(VLOOKUP(October[[#This Row],[Drug Name4]],'Data Options'!$R$1:$S$100,2,FALSE), " ")</f>
        <v xml:space="preserve"> </v>
      </c>
      <c r="AI93" s="32"/>
      <c r="AJ93" s="32"/>
      <c r="AK93" s="53"/>
      <c r="AL93" s="21" t="str">
        <f>IFERROR(VLOOKUP(October[[#This Row],[Drug Name5]],'Data Options'!$R$1:$S$100,2,FALSE), " ")</f>
        <v xml:space="preserve"> </v>
      </c>
      <c r="AM93" s="32"/>
      <c r="AN93" s="32"/>
      <c r="AO93" s="53"/>
      <c r="AP93" s="21" t="str">
        <f>IFERROR(VLOOKUP(October[[#This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21" t="str">
        <f>IFERROR(VLOOKUP(October[[#This Row],[Drug Name7]],'Data Options'!$R$1:$S$100,2,FALSE), " ")</f>
        <v xml:space="preserve"> </v>
      </c>
      <c r="AZ93" s="32"/>
      <c r="BA93" s="32"/>
      <c r="BB93" s="53"/>
      <c r="BC93" s="21" t="str">
        <f>IFERROR(VLOOKUP(October[[#This Row],[Drug Name8]],'Data Options'!$R$1:$S$100,2,FALSE), " ")</f>
        <v xml:space="preserve"> </v>
      </c>
      <c r="BD93" s="32"/>
      <c r="BE93" s="32"/>
      <c r="BF93" s="53"/>
      <c r="BG93" s="21" t="str">
        <f>IFERROR(VLOOKUP(October[[#This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21" t="str">
        <f>IFERROR(VLOOKUP(October[[#This Row],[Drug Name]],'Data Options'!$R$1:$S$100,2,FALSE), " ")</f>
        <v xml:space="preserve"> </v>
      </c>
      <c r="R94" s="32"/>
      <c r="S94" s="32"/>
      <c r="T94" s="53"/>
      <c r="U94" s="21" t="str">
        <f>IFERROR(VLOOKUP(October[[#This Row],[Drug Name2]],'Data Options'!$R$1:$S$100,2,FALSE), " ")</f>
        <v xml:space="preserve"> </v>
      </c>
      <c r="V94" s="32"/>
      <c r="W94" s="32"/>
      <c r="X94" s="53"/>
      <c r="Y94" s="21" t="str">
        <f>IFERROR(VLOOKUP(October[[#This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21" t="str">
        <f>IFERROR(VLOOKUP(October[[#This Row],[Drug Name4]],'Data Options'!$R$1:$S$100,2,FALSE), " ")</f>
        <v xml:space="preserve"> </v>
      </c>
      <c r="AI94" s="32"/>
      <c r="AJ94" s="32"/>
      <c r="AK94" s="53"/>
      <c r="AL94" s="21" t="str">
        <f>IFERROR(VLOOKUP(October[[#This Row],[Drug Name5]],'Data Options'!$R$1:$S$100,2,FALSE), " ")</f>
        <v xml:space="preserve"> </v>
      </c>
      <c r="AM94" s="32"/>
      <c r="AN94" s="32"/>
      <c r="AO94" s="53"/>
      <c r="AP94" s="21" t="str">
        <f>IFERROR(VLOOKUP(October[[#This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21" t="str">
        <f>IFERROR(VLOOKUP(October[[#This Row],[Drug Name7]],'Data Options'!$R$1:$S$100,2,FALSE), " ")</f>
        <v xml:space="preserve"> </v>
      </c>
      <c r="AZ94" s="32"/>
      <c r="BA94" s="32"/>
      <c r="BB94" s="53"/>
      <c r="BC94" s="21" t="str">
        <f>IFERROR(VLOOKUP(October[[#This Row],[Drug Name8]],'Data Options'!$R$1:$S$100,2,FALSE), " ")</f>
        <v xml:space="preserve"> </v>
      </c>
      <c r="BD94" s="32"/>
      <c r="BE94" s="32"/>
      <c r="BF94" s="53"/>
      <c r="BG94" s="21" t="str">
        <f>IFERROR(VLOOKUP(October[[#This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21" t="str">
        <f>IFERROR(VLOOKUP(October[[#This Row],[Drug Name]],'Data Options'!$R$1:$S$100,2,FALSE), " ")</f>
        <v xml:space="preserve"> </v>
      </c>
      <c r="R95" s="32"/>
      <c r="S95" s="32"/>
      <c r="T95" s="53"/>
      <c r="U95" s="21" t="str">
        <f>IFERROR(VLOOKUP(October[[#This Row],[Drug Name2]],'Data Options'!$R$1:$S$100,2,FALSE), " ")</f>
        <v xml:space="preserve"> </v>
      </c>
      <c r="V95" s="32"/>
      <c r="W95" s="32"/>
      <c r="X95" s="53"/>
      <c r="Y95" s="21" t="str">
        <f>IFERROR(VLOOKUP(October[[#This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21" t="str">
        <f>IFERROR(VLOOKUP(October[[#This Row],[Drug Name4]],'Data Options'!$R$1:$S$100,2,FALSE), " ")</f>
        <v xml:space="preserve"> </v>
      </c>
      <c r="AI95" s="32"/>
      <c r="AJ95" s="32"/>
      <c r="AK95" s="53"/>
      <c r="AL95" s="21" t="str">
        <f>IFERROR(VLOOKUP(October[[#This Row],[Drug Name5]],'Data Options'!$R$1:$S$100,2,FALSE), " ")</f>
        <v xml:space="preserve"> </v>
      </c>
      <c r="AM95" s="32"/>
      <c r="AN95" s="32"/>
      <c r="AO95" s="53"/>
      <c r="AP95" s="21" t="str">
        <f>IFERROR(VLOOKUP(October[[#This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21" t="str">
        <f>IFERROR(VLOOKUP(October[[#This Row],[Drug Name7]],'Data Options'!$R$1:$S$100,2,FALSE), " ")</f>
        <v xml:space="preserve"> </v>
      </c>
      <c r="AZ95" s="32"/>
      <c r="BA95" s="32"/>
      <c r="BB95" s="53"/>
      <c r="BC95" s="21" t="str">
        <f>IFERROR(VLOOKUP(October[[#This Row],[Drug Name8]],'Data Options'!$R$1:$S$100,2,FALSE), " ")</f>
        <v xml:space="preserve"> </v>
      </c>
      <c r="BD95" s="32"/>
      <c r="BE95" s="32"/>
      <c r="BF95" s="53"/>
      <c r="BG95" s="21" t="str">
        <f>IFERROR(VLOOKUP(October[[#This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21" t="str">
        <f>IFERROR(VLOOKUP(October[[#This Row],[Drug Name]],'Data Options'!$R$1:$S$100,2,FALSE), " ")</f>
        <v xml:space="preserve"> </v>
      </c>
      <c r="R96" s="32"/>
      <c r="S96" s="32"/>
      <c r="T96" s="53"/>
      <c r="U96" s="21" t="str">
        <f>IFERROR(VLOOKUP(October[[#This Row],[Drug Name2]],'Data Options'!$R$1:$S$100,2,FALSE), " ")</f>
        <v xml:space="preserve"> </v>
      </c>
      <c r="V96" s="32"/>
      <c r="W96" s="32"/>
      <c r="X96" s="53"/>
      <c r="Y96" s="21" t="str">
        <f>IFERROR(VLOOKUP(October[[#This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21" t="str">
        <f>IFERROR(VLOOKUP(October[[#This Row],[Drug Name4]],'Data Options'!$R$1:$S$100,2,FALSE), " ")</f>
        <v xml:space="preserve"> </v>
      </c>
      <c r="AI96" s="32"/>
      <c r="AJ96" s="32"/>
      <c r="AK96" s="53"/>
      <c r="AL96" s="21" t="str">
        <f>IFERROR(VLOOKUP(October[[#This Row],[Drug Name5]],'Data Options'!$R$1:$S$100,2,FALSE), " ")</f>
        <v xml:space="preserve"> </v>
      </c>
      <c r="AM96" s="32"/>
      <c r="AN96" s="32"/>
      <c r="AO96" s="53"/>
      <c r="AP96" s="21" t="str">
        <f>IFERROR(VLOOKUP(October[[#This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21" t="str">
        <f>IFERROR(VLOOKUP(October[[#This Row],[Drug Name7]],'Data Options'!$R$1:$S$100,2,FALSE), " ")</f>
        <v xml:space="preserve"> </v>
      </c>
      <c r="AZ96" s="32"/>
      <c r="BA96" s="32"/>
      <c r="BB96" s="53"/>
      <c r="BC96" s="21" t="str">
        <f>IFERROR(VLOOKUP(October[[#This Row],[Drug Name8]],'Data Options'!$R$1:$S$100,2,FALSE), " ")</f>
        <v xml:space="preserve"> </v>
      </c>
      <c r="BD96" s="32"/>
      <c r="BE96" s="32"/>
      <c r="BF96" s="53"/>
      <c r="BG96" s="21" t="str">
        <f>IFERROR(VLOOKUP(October[[#This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21" t="str">
        <f>IFERROR(VLOOKUP(October[[#This Row],[Drug Name]],'Data Options'!$R$1:$S$100,2,FALSE), " ")</f>
        <v xml:space="preserve"> </v>
      </c>
      <c r="R97" s="32"/>
      <c r="S97" s="32"/>
      <c r="T97" s="53"/>
      <c r="U97" s="21" t="str">
        <f>IFERROR(VLOOKUP(October[[#This Row],[Drug Name2]],'Data Options'!$R$1:$S$100,2,FALSE), " ")</f>
        <v xml:space="preserve"> </v>
      </c>
      <c r="V97" s="32"/>
      <c r="W97" s="32"/>
      <c r="X97" s="53"/>
      <c r="Y97" s="21" t="str">
        <f>IFERROR(VLOOKUP(October[[#This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21" t="str">
        <f>IFERROR(VLOOKUP(October[[#This Row],[Drug Name4]],'Data Options'!$R$1:$S$100,2,FALSE), " ")</f>
        <v xml:space="preserve"> </v>
      </c>
      <c r="AI97" s="32"/>
      <c r="AJ97" s="32"/>
      <c r="AK97" s="53"/>
      <c r="AL97" s="21" t="str">
        <f>IFERROR(VLOOKUP(October[[#This Row],[Drug Name5]],'Data Options'!$R$1:$S$100,2,FALSE), " ")</f>
        <v xml:space="preserve"> </v>
      </c>
      <c r="AM97" s="32"/>
      <c r="AN97" s="32"/>
      <c r="AO97" s="53"/>
      <c r="AP97" s="21" t="str">
        <f>IFERROR(VLOOKUP(October[[#This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21" t="str">
        <f>IFERROR(VLOOKUP(October[[#This Row],[Drug Name7]],'Data Options'!$R$1:$S$100,2,FALSE), " ")</f>
        <v xml:space="preserve"> </v>
      </c>
      <c r="AZ97" s="32"/>
      <c r="BA97" s="32"/>
      <c r="BB97" s="53"/>
      <c r="BC97" s="21" t="str">
        <f>IFERROR(VLOOKUP(October[[#This Row],[Drug Name8]],'Data Options'!$R$1:$S$100,2,FALSE), " ")</f>
        <v xml:space="preserve"> </v>
      </c>
      <c r="BD97" s="32"/>
      <c r="BE97" s="32"/>
      <c r="BF97" s="53"/>
      <c r="BG97" s="21" t="str">
        <f>IFERROR(VLOOKUP(October[[#This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21" t="str">
        <f>IFERROR(VLOOKUP(October[[#This Row],[Drug Name]],'Data Options'!$R$1:$S$100,2,FALSE), " ")</f>
        <v xml:space="preserve"> </v>
      </c>
      <c r="R98" s="32"/>
      <c r="S98" s="32"/>
      <c r="T98" s="53"/>
      <c r="U98" s="21" t="str">
        <f>IFERROR(VLOOKUP(October[[#This Row],[Drug Name2]],'Data Options'!$R$1:$S$100,2,FALSE), " ")</f>
        <v xml:space="preserve"> </v>
      </c>
      <c r="V98" s="32"/>
      <c r="W98" s="32"/>
      <c r="X98" s="53"/>
      <c r="Y98" s="21" t="str">
        <f>IFERROR(VLOOKUP(October[[#This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21" t="str">
        <f>IFERROR(VLOOKUP(October[[#This Row],[Drug Name4]],'Data Options'!$R$1:$S$100,2,FALSE), " ")</f>
        <v xml:space="preserve"> </v>
      </c>
      <c r="AI98" s="32"/>
      <c r="AJ98" s="32"/>
      <c r="AK98" s="53"/>
      <c r="AL98" s="21" t="str">
        <f>IFERROR(VLOOKUP(October[[#This Row],[Drug Name5]],'Data Options'!$R$1:$S$100,2,FALSE), " ")</f>
        <v xml:space="preserve"> </v>
      </c>
      <c r="AM98" s="32"/>
      <c r="AN98" s="32"/>
      <c r="AO98" s="53"/>
      <c r="AP98" s="21" t="str">
        <f>IFERROR(VLOOKUP(October[[#This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21" t="str">
        <f>IFERROR(VLOOKUP(October[[#This Row],[Drug Name7]],'Data Options'!$R$1:$S$100,2,FALSE), " ")</f>
        <v xml:space="preserve"> </v>
      </c>
      <c r="AZ98" s="32"/>
      <c r="BA98" s="32"/>
      <c r="BB98" s="53"/>
      <c r="BC98" s="21" t="str">
        <f>IFERROR(VLOOKUP(October[[#This Row],[Drug Name8]],'Data Options'!$R$1:$S$100,2,FALSE), " ")</f>
        <v xml:space="preserve"> </v>
      </c>
      <c r="BD98" s="32"/>
      <c r="BE98" s="32"/>
      <c r="BF98" s="53"/>
      <c r="BG98" s="21" t="str">
        <f>IFERROR(VLOOKUP(October[[#This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21" t="str">
        <f>IFERROR(VLOOKUP(October[[#This Row],[Drug Name]],'Data Options'!$R$1:$S$100,2,FALSE), " ")</f>
        <v xml:space="preserve"> </v>
      </c>
      <c r="R99" s="32"/>
      <c r="S99" s="32"/>
      <c r="T99" s="53"/>
      <c r="U99" s="21" t="str">
        <f>IFERROR(VLOOKUP(October[[#This Row],[Drug Name2]],'Data Options'!$R$1:$S$100,2,FALSE), " ")</f>
        <v xml:space="preserve"> </v>
      </c>
      <c r="V99" s="32"/>
      <c r="W99" s="32"/>
      <c r="X99" s="53"/>
      <c r="Y99" s="21" t="str">
        <f>IFERROR(VLOOKUP(October[[#This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21" t="str">
        <f>IFERROR(VLOOKUP(October[[#This Row],[Drug Name4]],'Data Options'!$R$1:$S$100,2,FALSE), " ")</f>
        <v xml:space="preserve"> </v>
      </c>
      <c r="AI99" s="32"/>
      <c r="AJ99" s="32"/>
      <c r="AK99" s="53"/>
      <c r="AL99" s="21" t="str">
        <f>IFERROR(VLOOKUP(October[[#This Row],[Drug Name5]],'Data Options'!$R$1:$S$100,2,FALSE), " ")</f>
        <v xml:space="preserve"> </v>
      </c>
      <c r="AM99" s="32"/>
      <c r="AN99" s="32"/>
      <c r="AO99" s="53"/>
      <c r="AP99" s="21" t="str">
        <f>IFERROR(VLOOKUP(October[[#This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21" t="str">
        <f>IFERROR(VLOOKUP(October[[#This Row],[Drug Name7]],'Data Options'!$R$1:$S$100,2,FALSE), " ")</f>
        <v xml:space="preserve"> </v>
      </c>
      <c r="AZ99" s="32"/>
      <c r="BA99" s="32"/>
      <c r="BB99" s="53"/>
      <c r="BC99" s="21" t="str">
        <f>IFERROR(VLOOKUP(October[[#This Row],[Drug Name8]],'Data Options'!$R$1:$S$100,2,FALSE), " ")</f>
        <v xml:space="preserve"> </v>
      </c>
      <c r="BD99" s="32"/>
      <c r="BE99" s="32"/>
      <c r="BF99" s="53"/>
      <c r="BG99" s="21" t="str">
        <f>IFERROR(VLOOKUP(October[[#This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21" t="str">
        <f>IFERROR(VLOOKUP(October[[#This Row],[Drug Name]],'Data Options'!$R$1:$S$100,2,FALSE), " ")</f>
        <v xml:space="preserve"> </v>
      </c>
      <c r="R100" s="32"/>
      <c r="S100" s="32"/>
      <c r="T100" s="53"/>
      <c r="U100" s="21" t="str">
        <f>IFERROR(VLOOKUP(October[[#This Row],[Drug Name2]],'Data Options'!$R$1:$S$100,2,FALSE), " ")</f>
        <v xml:space="preserve"> </v>
      </c>
      <c r="V100" s="32"/>
      <c r="W100" s="32"/>
      <c r="X100" s="53"/>
      <c r="Y100" s="21" t="str">
        <f>IFERROR(VLOOKUP(October[[#This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21" t="str">
        <f>IFERROR(VLOOKUP(October[[#This Row],[Drug Name4]],'Data Options'!$R$1:$S$100,2,FALSE), " ")</f>
        <v xml:space="preserve"> </v>
      </c>
      <c r="AI100" s="32"/>
      <c r="AJ100" s="32"/>
      <c r="AK100" s="53"/>
      <c r="AL100" s="21" t="str">
        <f>IFERROR(VLOOKUP(October[[#This Row],[Drug Name5]],'Data Options'!$R$1:$S$100,2,FALSE), " ")</f>
        <v xml:space="preserve"> </v>
      </c>
      <c r="AM100" s="32"/>
      <c r="AN100" s="32"/>
      <c r="AO100" s="53"/>
      <c r="AP100" s="21" t="str">
        <f>IFERROR(VLOOKUP(October[[#This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21" t="str">
        <f>IFERROR(VLOOKUP(October[[#This Row],[Drug Name7]],'Data Options'!$R$1:$S$100,2,FALSE), " ")</f>
        <v xml:space="preserve"> </v>
      </c>
      <c r="AZ100" s="32"/>
      <c r="BA100" s="32"/>
      <c r="BB100" s="53"/>
      <c r="BC100" s="21" t="str">
        <f>IFERROR(VLOOKUP(October[[#This Row],[Drug Name8]],'Data Options'!$R$1:$S$100,2,FALSE), " ")</f>
        <v xml:space="preserve"> </v>
      </c>
      <c r="BD100" s="32"/>
      <c r="BE100" s="32"/>
      <c r="BF100" s="53"/>
      <c r="BG100" s="21" t="str">
        <f>IFERROR(VLOOKUP(October[[#This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21" t="str">
        <f>IFERROR(VLOOKUP(October[[#This Row],[Drug Name]],'Data Options'!$R$1:$S$100,2,FALSE), " ")</f>
        <v xml:space="preserve"> </v>
      </c>
      <c r="R101" s="32"/>
      <c r="S101" s="32"/>
      <c r="T101" s="53"/>
      <c r="U101" s="21" t="str">
        <f>IFERROR(VLOOKUP(October[[#This Row],[Drug Name2]],'Data Options'!$R$1:$S$100,2,FALSE), " ")</f>
        <v xml:space="preserve"> </v>
      </c>
      <c r="V101" s="32"/>
      <c r="W101" s="32"/>
      <c r="X101" s="53"/>
      <c r="Y101" s="21" t="str">
        <f>IFERROR(VLOOKUP(October[[#This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21" t="str">
        <f>IFERROR(VLOOKUP(October[[#This Row],[Drug Name4]],'Data Options'!$R$1:$S$100,2,FALSE), " ")</f>
        <v xml:space="preserve"> </v>
      </c>
      <c r="AI101" s="32"/>
      <c r="AJ101" s="32"/>
      <c r="AK101" s="53"/>
      <c r="AL101" s="21" t="str">
        <f>IFERROR(VLOOKUP(October[[#This Row],[Drug Name5]],'Data Options'!$R$1:$S$100,2,FALSE), " ")</f>
        <v xml:space="preserve"> </v>
      </c>
      <c r="AM101" s="32"/>
      <c r="AN101" s="32"/>
      <c r="AO101" s="53"/>
      <c r="AP101" s="21" t="str">
        <f>IFERROR(VLOOKUP(October[[#This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21" t="str">
        <f>IFERROR(VLOOKUP(October[[#This Row],[Drug Name7]],'Data Options'!$R$1:$S$100,2,FALSE), " ")</f>
        <v xml:space="preserve"> </v>
      </c>
      <c r="AZ101" s="32"/>
      <c r="BA101" s="32"/>
      <c r="BB101" s="53"/>
      <c r="BC101" s="21" t="str">
        <f>IFERROR(VLOOKUP(October[[#This Row],[Drug Name8]],'Data Options'!$R$1:$S$100,2,FALSE), " ")</f>
        <v xml:space="preserve"> </v>
      </c>
      <c r="BD101" s="32"/>
      <c r="BE101" s="32"/>
      <c r="BF101" s="53"/>
      <c r="BG101" s="21" t="str">
        <f>IFERROR(VLOOKUP(October[[#This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21" t="str">
        <f>IFERROR(VLOOKUP(October[[#This Row],[Drug Name]],'Data Options'!$R$1:$S$100,2,FALSE), " ")</f>
        <v xml:space="preserve"> </v>
      </c>
      <c r="R102" s="32"/>
      <c r="S102" s="32"/>
      <c r="T102" s="53"/>
      <c r="U102" s="21" t="str">
        <f>IFERROR(VLOOKUP(October[[#This Row],[Drug Name2]],'Data Options'!$R$1:$S$100,2,FALSE), " ")</f>
        <v xml:space="preserve"> </v>
      </c>
      <c r="V102" s="32"/>
      <c r="W102" s="32"/>
      <c r="X102" s="53"/>
      <c r="Y102" s="21" t="str">
        <f>IFERROR(VLOOKUP(October[[#This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21" t="str">
        <f>IFERROR(VLOOKUP(October[[#This Row],[Drug Name4]],'Data Options'!$R$1:$S$100,2,FALSE), " ")</f>
        <v xml:space="preserve"> </v>
      </c>
      <c r="AI102" s="32"/>
      <c r="AJ102" s="32"/>
      <c r="AK102" s="53"/>
      <c r="AL102" s="21" t="str">
        <f>IFERROR(VLOOKUP(October[[#This Row],[Drug Name5]],'Data Options'!$R$1:$S$100,2,FALSE), " ")</f>
        <v xml:space="preserve"> </v>
      </c>
      <c r="AM102" s="32"/>
      <c r="AN102" s="32"/>
      <c r="AO102" s="53"/>
      <c r="AP102" s="21" t="str">
        <f>IFERROR(VLOOKUP(October[[#This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21" t="str">
        <f>IFERROR(VLOOKUP(October[[#This Row],[Drug Name7]],'Data Options'!$R$1:$S$100,2,FALSE), " ")</f>
        <v xml:space="preserve"> </v>
      </c>
      <c r="AZ102" s="32"/>
      <c r="BA102" s="32"/>
      <c r="BB102" s="53"/>
      <c r="BC102" s="21" t="str">
        <f>IFERROR(VLOOKUP(October[[#This Row],[Drug Name8]],'Data Options'!$R$1:$S$100,2,FALSE), " ")</f>
        <v xml:space="preserve"> </v>
      </c>
      <c r="BD102" s="32"/>
      <c r="BE102" s="32"/>
      <c r="BF102" s="53"/>
      <c r="BG102" s="21" t="str">
        <f>IFERROR(VLOOKUP(October[[#This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21" t="str">
        <f>IFERROR(VLOOKUP(October[[#This Row],[Drug Name]],'Data Options'!$R$1:$S$100,2,FALSE), " ")</f>
        <v xml:space="preserve"> </v>
      </c>
      <c r="R103" s="32"/>
      <c r="S103" s="32"/>
      <c r="T103" s="53"/>
      <c r="U103" s="21" t="str">
        <f>IFERROR(VLOOKUP(October[[#This Row],[Drug Name2]],'Data Options'!$R$1:$S$100,2,FALSE), " ")</f>
        <v xml:space="preserve"> </v>
      </c>
      <c r="V103" s="32"/>
      <c r="W103" s="32"/>
      <c r="X103" s="53"/>
      <c r="Y103" s="21" t="str">
        <f>IFERROR(VLOOKUP(October[[#This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21" t="str">
        <f>IFERROR(VLOOKUP(October[[#This Row],[Drug Name4]],'Data Options'!$R$1:$S$100,2,FALSE), " ")</f>
        <v xml:space="preserve"> </v>
      </c>
      <c r="AI103" s="32"/>
      <c r="AJ103" s="32"/>
      <c r="AK103" s="53"/>
      <c r="AL103" s="21" t="str">
        <f>IFERROR(VLOOKUP(October[[#This Row],[Drug Name5]],'Data Options'!$R$1:$S$100,2,FALSE), " ")</f>
        <v xml:space="preserve"> </v>
      </c>
      <c r="AM103" s="32"/>
      <c r="AN103" s="32"/>
      <c r="AO103" s="53"/>
      <c r="AP103" s="21" t="str">
        <f>IFERROR(VLOOKUP(October[[#This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21" t="str">
        <f>IFERROR(VLOOKUP(October[[#This Row],[Drug Name7]],'Data Options'!$R$1:$S$100,2,FALSE), " ")</f>
        <v xml:space="preserve"> </v>
      </c>
      <c r="AZ103" s="32"/>
      <c r="BA103" s="32"/>
      <c r="BB103" s="53"/>
      <c r="BC103" s="21" t="str">
        <f>IFERROR(VLOOKUP(October[[#This Row],[Drug Name8]],'Data Options'!$R$1:$S$100,2,FALSE), " ")</f>
        <v xml:space="preserve"> </v>
      </c>
      <c r="BD103" s="32"/>
      <c r="BE103" s="32"/>
      <c r="BF103" s="53"/>
      <c r="BG103" s="21" t="str">
        <f>IFERROR(VLOOKUP(October[[#This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21" t="str">
        <f>IFERROR(VLOOKUP(October[[#This Row],[Drug Name]],'Data Options'!$R$1:$S$100,2,FALSE), " ")</f>
        <v xml:space="preserve"> </v>
      </c>
      <c r="R104" s="32"/>
      <c r="S104" s="32"/>
      <c r="T104" s="53"/>
      <c r="U104" s="21" t="str">
        <f>IFERROR(VLOOKUP(October[[#This Row],[Drug Name2]],'Data Options'!$R$1:$S$100,2,FALSE), " ")</f>
        <v xml:space="preserve"> </v>
      </c>
      <c r="V104" s="32"/>
      <c r="W104" s="32"/>
      <c r="X104" s="53"/>
      <c r="Y104" s="21" t="str">
        <f>IFERROR(VLOOKUP(October[[#This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21" t="str">
        <f>IFERROR(VLOOKUP(October[[#This Row],[Drug Name4]],'Data Options'!$R$1:$S$100,2,FALSE), " ")</f>
        <v xml:space="preserve"> </v>
      </c>
      <c r="AI104" s="32"/>
      <c r="AJ104" s="32"/>
      <c r="AK104" s="53"/>
      <c r="AL104" s="21" t="str">
        <f>IFERROR(VLOOKUP(October[[#This Row],[Drug Name5]],'Data Options'!$R$1:$S$100,2,FALSE), " ")</f>
        <v xml:space="preserve"> </v>
      </c>
      <c r="AM104" s="32"/>
      <c r="AN104" s="32"/>
      <c r="AO104" s="53"/>
      <c r="AP104" s="21" t="str">
        <f>IFERROR(VLOOKUP(October[[#This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21" t="str">
        <f>IFERROR(VLOOKUP(October[[#This Row],[Drug Name7]],'Data Options'!$R$1:$S$100,2,FALSE), " ")</f>
        <v xml:space="preserve"> </v>
      </c>
      <c r="AZ104" s="32"/>
      <c r="BA104" s="32"/>
      <c r="BB104" s="53"/>
      <c r="BC104" s="21" t="str">
        <f>IFERROR(VLOOKUP(October[[#This Row],[Drug Name8]],'Data Options'!$R$1:$S$100,2,FALSE), " ")</f>
        <v xml:space="preserve"> </v>
      </c>
      <c r="BD104" s="32"/>
      <c r="BE104" s="32"/>
      <c r="BF104" s="53"/>
      <c r="BG104" s="21" t="str">
        <f>IFERROR(VLOOKUP(October[[#This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21" t="str">
        <f>IFERROR(VLOOKUP(October[[#This Row],[Drug Name]],'Data Options'!$R$1:$S$100,2,FALSE), " ")</f>
        <v xml:space="preserve"> </v>
      </c>
      <c r="R105" s="32"/>
      <c r="S105" s="32"/>
      <c r="T105" s="53"/>
      <c r="U105" s="21" t="str">
        <f>IFERROR(VLOOKUP(October[[#This Row],[Drug Name2]],'Data Options'!$R$1:$S$100,2,FALSE), " ")</f>
        <v xml:space="preserve"> </v>
      </c>
      <c r="V105" s="32"/>
      <c r="W105" s="32"/>
      <c r="X105" s="53"/>
      <c r="Y105" s="21" t="str">
        <f>IFERROR(VLOOKUP(October[[#This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21" t="str">
        <f>IFERROR(VLOOKUP(October[[#This Row],[Drug Name4]],'Data Options'!$R$1:$S$100,2,FALSE), " ")</f>
        <v xml:space="preserve"> </v>
      </c>
      <c r="AI105" s="32"/>
      <c r="AJ105" s="32"/>
      <c r="AK105" s="53"/>
      <c r="AL105" s="21" t="str">
        <f>IFERROR(VLOOKUP(October[[#This Row],[Drug Name5]],'Data Options'!$R$1:$S$100,2,FALSE), " ")</f>
        <v xml:space="preserve"> </v>
      </c>
      <c r="AM105" s="32"/>
      <c r="AN105" s="32"/>
      <c r="AO105" s="53"/>
      <c r="AP105" s="21" t="str">
        <f>IFERROR(VLOOKUP(October[[#This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21" t="str">
        <f>IFERROR(VLOOKUP(October[[#This Row],[Drug Name7]],'Data Options'!$R$1:$S$100,2,FALSE), " ")</f>
        <v xml:space="preserve"> </v>
      </c>
      <c r="AZ105" s="32"/>
      <c r="BA105" s="32"/>
      <c r="BB105" s="53"/>
      <c r="BC105" s="21" t="str">
        <f>IFERROR(VLOOKUP(October[[#This Row],[Drug Name8]],'Data Options'!$R$1:$S$100,2,FALSE), " ")</f>
        <v xml:space="preserve"> </v>
      </c>
      <c r="BD105" s="32"/>
      <c r="BE105" s="32"/>
      <c r="BF105" s="53"/>
      <c r="BG105" s="21" t="str">
        <f>IFERROR(VLOOKUP(October[[#This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21" t="str">
        <f>IFERROR(VLOOKUP(October[[#This Row],[Drug Name]],'Data Options'!$R$1:$S$100,2,FALSE), " ")</f>
        <v xml:space="preserve"> </v>
      </c>
      <c r="R106" s="32"/>
      <c r="S106" s="32"/>
      <c r="T106" s="53"/>
      <c r="U106" s="21" t="str">
        <f>IFERROR(VLOOKUP(October[[#This Row],[Drug Name2]],'Data Options'!$R$1:$S$100,2,FALSE), " ")</f>
        <v xml:space="preserve"> </v>
      </c>
      <c r="V106" s="32"/>
      <c r="W106" s="32"/>
      <c r="X106" s="53"/>
      <c r="Y106" s="21" t="str">
        <f>IFERROR(VLOOKUP(October[[#This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21" t="str">
        <f>IFERROR(VLOOKUP(October[[#This Row],[Drug Name4]],'Data Options'!$R$1:$S$100,2,FALSE), " ")</f>
        <v xml:space="preserve"> </v>
      </c>
      <c r="AI106" s="32"/>
      <c r="AJ106" s="32"/>
      <c r="AK106" s="53"/>
      <c r="AL106" s="21" t="str">
        <f>IFERROR(VLOOKUP(October[[#This Row],[Drug Name5]],'Data Options'!$R$1:$S$100,2,FALSE), " ")</f>
        <v xml:space="preserve"> </v>
      </c>
      <c r="AM106" s="32"/>
      <c r="AN106" s="32"/>
      <c r="AO106" s="53"/>
      <c r="AP106" s="21" t="str">
        <f>IFERROR(VLOOKUP(October[[#This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21" t="str">
        <f>IFERROR(VLOOKUP(October[[#This Row],[Drug Name7]],'Data Options'!$R$1:$S$100,2,FALSE), " ")</f>
        <v xml:space="preserve"> </v>
      </c>
      <c r="AZ106" s="32"/>
      <c r="BA106" s="32"/>
      <c r="BB106" s="53"/>
      <c r="BC106" s="21" t="str">
        <f>IFERROR(VLOOKUP(October[[#This Row],[Drug Name8]],'Data Options'!$R$1:$S$100,2,FALSE), " ")</f>
        <v xml:space="preserve"> </v>
      </c>
      <c r="BD106" s="32"/>
      <c r="BE106" s="32"/>
      <c r="BF106" s="53"/>
      <c r="BG106" s="21" t="str">
        <f>IFERROR(VLOOKUP(October[[#This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21" t="str">
        <f>IFERROR(VLOOKUP(October[[#This Row],[Drug Name]],'Data Options'!$R$1:$S$100,2,FALSE), " ")</f>
        <v xml:space="preserve"> </v>
      </c>
      <c r="R107" s="32"/>
      <c r="S107" s="32"/>
      <c r="T107" s="53"/>
      <c r="U107" s="21" t="str">
        <f>IFERROR(VLOOKUP(October[[#This Row],[Drug Name2]],'Data Options'!$R$1:$S$100,2,FALSE), " ")</f>
        <v xml:space="preserve"> </v>
      </c>
      <c r="V107" s="32"/>
      <c r="W107" s="32"/>
      <c r="X107" s="53"/>
      <c r="Y107" s="21" t="str">
        <f>IFERROR(VLOOKUP(October[[#This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21" t="str">
        <f>IFERROR(VLOOKUP(October[[#This Row],[Drug Name4]],'Data Options'!$R$1:$S$100,2,FALSE), " ")</f>
        <v xml:space="preserve"> </v>
      </c>
      <c r="AI107" s="32"/>
      <c r="AJ107" s="32"/>
      <c r="AK107" s="53"/>
      <c r="AL107" s="21" t="str">
        <f>IFERROR(VLOOKUP(October[[#This Row],[Drug Name5]],'Data Options'!$R$1:$S$100,2,FALSE), " ")</f>
        <v xml:space="preserve"> </v>
      </c>
      <c r="AM107" s="32"/>
      <c r="AN107" s="32"/>
      <c r="AO107" s="53"/>
      <c r="AP107" s="21" t="str">
        <f>IFERROR(VLOOKUP(October[[#This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21" t="str">
        <f>IFERROR(VLOOKUP(October[[#This Row],[Drug Name7]],'Data Options'!$R$1:$S$100,2,FALSE), " ")</f>
        <v xml:space="preserve"> </v>
      </c>
      <c r="AZ107" s="32"/>
      <c r="BA107" s="32"/>
      <c r="BB107" s="53"/>
      <c r="BC107" s="21" t="str">
        <f>IFERROR(VLOOKUP(October[[#This Row],[Drug Name8]],'Data Options'!$R$1:$S$100,2,FALSE), " ")</f>
        <v xml:space="preserve"> </v>
      </c>
      <c r="BD107" s="32"/>
      <c r="BE107" s="32"/>
      <c r="BF107" s="53"/>
      <c r="BG107" s="21" t="str">
        <f>IFERROR(VLOOKUP(October[[#This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21" t="str">
        <f>IFERROR(VLOOKUP(October[[#This Row],[Drug Name]],'Data Options'!$R$1:$S$100,2,FALSE), " ")</f>
        <v xml:space="preserve"> </v>
      </c>
      <c r="R108" s="32"/>
      <c r="S108" s="32"/>
      <c r="T108" s="53"/>
      <c r="U108" s="21" t="str">
        <f>IFERROR(VLOOKUP(October[[#This Row],[Drug Name2]],'Data Options'!$R$1:$S$100,2,FALSE), " ")</f>
        <v xml:space="preserve"> </v>
      </c>
      <c r="V108" s="32"/>
      <c r="W108" s="32"/>
      <c r="X108" s="53"/>
      <c r="Y108" s="21" t="str">
        <f>IFERROR(VLOOKUP(October[[#This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21" t="str">
        <f>IFERROR(VLOOKUP(October[[#This Row],[Drug Name4]],'Data Options'!$R$1:$S$100,2,FALSE), " ")</f>
        <v xml:space="preserve"> </v>
      </c>
      <c r="AI108" s="32"/>
      <c r="AJ108" s="32"/>
      <c r="AK108" s="53"/>
      <c r="AL108" s="21" t="str">
        <f>IFERROR(VLOOKUP(October[[#This Row],[Drug Name5]],'Data Options'!$R$1:$S$100,2,FALSE), " ")</f>
        <v xml:space="preserve"> </v>
      </c>
      <c r="AM108" s="32"/>
      <c r="AN108" s="32"/>
      <c r="AO108" s="53"/>
      <c r="AP108" s="21" t="str">
        <f>IFERROR(VLOOKUP(October[[#This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21" t="str">
        <f>IFERROR(VLOOKUP(October[[#This Row],[Drug Name7]],'Data Options'!$R$1:$S$100,2,FALSE), " ")</f>
        <v xml:space="preserve"> </v>
      </c>
      <c r="AZ108" s="32"/>
      <c r="BA108" s="32"/>
      <c r="BB108" s="53"/>
      <c r="BC108" s="21" t="str">
        <f>IFERROR(VLOOKUP(October[[#This Row],[Drug Name8]],'Data Options'!$R$1:$S$100,2,FALSE), " ")</f>
        <v xml:space="preserve"> </v>
      </c>
      <c r="BD108" s="32"/>
      <c r="BE108" s="32"/>
      <c r="BF108" s="53"/>
      <c r="BG108" s="21" t="str">
        <f>IFERROR(VLOOKUP(October[[#This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21" t="str">
        <f>IFERROR(VLOOKUP(October[[#This Row],[Drug Name]],'Data Options'!$R$1:$S$100,2,FALSE), " ")</f>
        <v xml:space="preserve"> </v>
      </c>
      <c r="R109" s="32"/>
      <c r="S109" s="32"/>
      <c r="T109" s="53"/>
      <c r="U109" s="21" t="str">
        <f>IFERROR(VLOOKUP(October[[#This Row],[Drug Name2]],'Data Options'!$R$1:$S$100,2,FALSE), " ")</f>
        <v xml:space="preserve"> </v>
      </c>
      <c r="V109" s="32"/>
      <c r="W109" s="32"/>
      <c r="X109" s="53"/>
      <c r="Y109" s="21" t="str">
        <f>IFERROR(VLOOKUP(October[[#This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21" t="str">
        <f>IFERROR(VLOOKUP(October[[#This Row],[Drug Name4]],'Data Options'!$R$1:$S$100,2,FALSE), " ")</f>
        <v xml:space="preserve"> </v>
      </c>
      <c r="AI109" s="32"/>
      <c r="AJ109" s="32"/>
      <c r="AK109" s="53"/>
      <c r="AL109" s="21" t="str">
        <f>IFERROR(VLOOKUP(October[[#This Row],[Drug Name5]],'Data Options'!$R$1:$S$100,2,FALSE), " ")</f>
        <v xml:space="preserve"> </v>
      </c>
      <c r="AM109" s="32"/>
      <c r="AN109" s="32"/>
      <c r="AO109" s="53"/>
      <c r="AP109" s="21" t="str">
        <f>IFERROR(VLOOKUP(October[[#This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21" t="str">
        <f>IFERROR(VLOOKUP(October[[#This Row],[Drug Name7]],'Data Options'!$R$1:$S$100,2,FALSE), " ")</f>
        <v xml:space="preserve"> </v>
      </c>
      <c r="AZ109" s="32"/>
      <c r="BA109" s="32"/>
      <c r="BB109" s="53"/>
      <c r="BC109" s="21" t="str">
        <f>IFERROR(VLOOKUP(October[[#This Row],[Drug Name8]],'Data Options'!$R$1:$S$100,2,FALSE), " ")</f>
        <v xml:space="preserve"> </v>
      </c>
      <c r="BD109" s="32"/>
      <c r="BE109" s="32"/>
      <c r="BF109" s="53"/>
      <c r="BG109" s="21" t="str">
        <f>IFERROR(VLOOKUP(October[[#This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21" t="str">
        <f>IFERROR(VLOOKUP(October[[#This Row],[Drug Name]],'Data Options'!$R$1:$S$100,2,FALSE), " ")</f>
        <v xml:space="preserve"> </v>
      </c>
      <c r="R110" s="32"/>
      <c r="S110" s="32"/>
      <c r="T110" s="53"/>
      <c r="U110" s="21" t="str">
        <f>IFERROR(VLOOKUP(October[[#This Row],[Drug Name2]],'Data Options'!$R$1:$S$100,2,FALSE), " ")</f>
        <v xml:space="preserve"> </v>
      </c>
      <c r="V110" s="32"/>
      <c r="W110" s="32"/>
      <c r="X110" s="53"/>
      <c r="Y110" s="21" t="str">
        <f>IFERROR(VLOOKUP(October[[#This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21" t="str">
        <f>IFERROR(VLOOKUP(October[[#This Row],[Drug Name4]],'Data Options'!$R$1:$S$100,2,FALSE), " ")</f>
        <v xml:space="preserve"> </v>
      </c>
      <c r="AI110" s="32"/>
      <c r="AJ110" s="32"/>
      <c r="AK110" s="53"/>
      <c r="AL110" s="21" t="str">
        <f>IFERROR(VLOOKUP(October[[#This Row],[Drug Name5]],'Data Options'!$R$1:$S$100,2,FALSE), " ")</f>
        <v xml:space="preserve"> </v>
      </c>
      <c r="AM110" s="32"/>
      <c r="AN110" s="32"/>
      <c r="AO110" s="53"/>
      <c r="AP110" s="21" t="str">
        <f>IFERROR(VLOOKUP(October[[#This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21" t="str">
        <f>IFERROR(VLOOKUP(October[[#This Row],[Drug Name7]],'Data Options'!$R$1:$S$100,2,FALSE), " ")</f>
        <v xml:space="preserve"> </v>
      </c>
      <c r="AZ110" s="32"/>
      <c r="BA110" s="32"/>
      <c r="BB110" s="53"/>
      <c r="BC110" s="21" t="str">
        <f>IFERROR(VLOOKUP(October[[#This Row],[Drug Name8]],'Data Options'!$R$1:$S$100,2,FALSE), " ")</f>
        <v xml:space="preserve"> </v>
      </c>
      <c r="BD110" s="32"/>
      <c r="BE110" s="32"/>
      <c r="BF110" s="53"/>
      <c r="BG110" s="21" t="str">
        <f>IFERROR(VLOOKUP(October[[#This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21" t="str">
        <f>IFERROR(VLOOKUP(October[[#This Row],[Drug Name]],'Data Options'!$R$1:$S$100,2,FALSE), " ")</f>
        <v xml:space="preserve"> </v>
      </c>
      <c r="R111" s="32"/>
      <c r="S111" s="32"/>
      <c r="T111" s="53"/>
      <c r="U111" s="21" t="str">
        <f>IFERROR(VLOOKUP(October[[#This Row],[Drug Name2]],'Data Options'!$R$1:$S$100,2,FALSE), " ")</f>
        <v xml:space="preserve"> </v>
      </c>
      <c r="V111" s="32"/>
      <c r="W111" s="32"/>
      <c r="X111" s="53"/>
      <c r="Y111" s="21" t="str">
        <f>IFERROR(VLOOKUP(October[[#This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21" t="str">
        <f>IFERROR(VLOOKUP(October[[#This Row],[Drug Name4]],'Data Options'!$R$1:$S$100,2,FALSE), " ")</f>
        <v xml:space="preserve"> </v>
      </c>
      <c r="AI111" s="32"/>
      <c r="AJ111" s="32"/>
      <c r="AK111" s="53"/>
      <c r="AL111" s="21" t="str">
        <f>IFERROR(VLOOKUP(October[[#This Row],[Drug Name5]],'Data Options'!$R$1:$S$100,2,FALSE), " ")</f>
        <v xml:space="preserve"> </v>
      </c>
      <c r="AM111" s="32"/>
      <c r="AN111" s="32"/>
      <c r="AO111" s="53"/>
      <c r="AP111" s="21" t="str">
        <f>IFERROR(VLOOKUP(October[[#This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21" t="str">
        <f>IFERROR(VLOOKUP(October[[#This Row],[Drug Name7]],'Data Options'!$R$1:$S$100,2,FALSE), " ")</f>
        <v xml:space="preserve"> </v>
      </c>
      <c r="AZ111" s="32"/>
      <c r="BA111" s="32"/>
      <c r="BB111" s="53"/>
      <c r="BC111" s="21" t="str">
        <f>IFERROR(VLOOKUP(October[[#This Row],[Drug Name8]],'Data Options'!$R$1:$S$100,2,FALSE), " ")</f>
        <v xml:space="preserve"> </v>
      </c>
      <c r="BD111" s="32"/>
      <c r="BE111" s="32"/>
      <c r="BF111" s="53"/>
      <c r="BG111" s="21" t="str">
        <f>IFERROR(VLOOKUP(October[[#This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21" t="str">
        <f>IFERROR(VLOOKUP(October[[#This Row],[Drug Name]],'Data Options'!$R$1:$S$100,2,FALSE), " ")</f>
        <v xml:space="preserve"> </v>
      </c>
      <c r="R112" s="32"/>
      <c r="S112" s="32"/>
      <c r="T112" s="53"/>
      <c r="U112" s="21" t="str">
        <f>IFERROR(VLOOKUP(October[[#This Row],[Drug Name2]],'Data Options'!$R$1:$S$100,2,FALSE), " ")</f>
        <v xml:space="preserve"> </v>
      </c>
      <c r="V112" s="32"/>
      <c r="W112" s="32"/>
      <c r="X112" s="53"/>
      <c r="Y112" s="21" t="str">
        <f>IFERROR(VLOOKUP(October[[#This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21" t="str">
        <f>IFERROR(VLOOKUP(October[[#This Row],[Drug Name4]],'Data Options'!$R$1:$S$100,2,FALSE), " ")</f>
        <v xml:space="preserve"> </v>
      </c>
      <c r="AI112" s="32"/>
      <c r="AJ112" s="32"/>
      <c r="AK112" s="53"/>
      <c r="AL112" s="21" t="str">
        <f>IFERROR(VLOOKUP(October[[#This Row],[Drug Name5]],'Data Options'!$R$1:$S$100,2,FALSE), " ")</f>
        <v xml:space="preserve"> </v>
      </c>
      <c r="AM112" s="32"/>
      <c r="AN112" s="32"/>
      <c r="AO112" s="53"/>
      <c r="AP112" s="21" t="str">
        <f>IFERROR(VLOOKUP(October[[#This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21" t="str">
        <f>IFERROR(VLOOKUP(October[[#This Row],[Drug Name7]],'Data Options'!$R$1:$S$100,2,FALSE), " ")</f>
        <v xml:space="preserve"> </v>
      </c>
      <c r="AZ112" s="32"/>
      <c r="BA112" s="32"/>
      <c r="BB112" s="53"/>
      <c r="BC112" s="21" t="str">
        <f>IFERROR(VLOOKUP(October[[#This Row],[Drug Name8]],'Data Options'!$R$1:$S$100,2,FALSE), " ")</f>
        <v xml:space="preserve"> </v>
      </c>
      <c r="BD112" s="32"/>
      <c r="BE112" s="32"/>
      <c r="BF112" s="53"/>
      <c r="BG112" s="21" t="str">
        <f>IFERROR(VLOOKUP(October[[#This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21" t="str">
        <f>IFERROR(VLOOKUP(October[[#This Row],[Drug Name]],'Data Options'!$R$1:$S$100,2,FALSE), " ")</f>
        <v xml:space="preserve"> </v>
      </c>
      <c r="R113" s="32"/>
      <c r="S113" s="32"/>
      <c r="T113" s="53"/>
      <c r="U113" s="21" t="str">
        <f>IFERROR(VLOOKUP(October[[#This Row],[Drug Name2]],'Data Options'!$R$1:$S$100,2,FALSE), " ")</f>
        <v xml:space="preserve"> </v>
      </c>
      <c r="V113" s="32"/>
      <c r="W113" s="32"/>
      <c r="X113" s="53"/>
      <c r="Y113" s="21" t="str">
        <f>IFERROR(VLOOKUP(October[[#This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21" t="str">
        <f>IFERROR(VLOOKUP(October[[#This Row],[Drug Name4]],'Data Options'!$R$1:$S$100,2,FALSE), " ")</f>
        <v xml:space="preserve"> </v>
      </c>
      <c r="AI113" s="32"/>
      <c r="AJ113" s="32"/>
      <c r="AK113" s="53"/>
      <c r="AL113" s="21" t="str">
        <f>IFERROR(VLOOKUP(October[[#This Row],[Drug Name5]],'Data Options'!$R$1:$S$100,2,FALSE), " ")</f>
        <v xml:space="preserve"> </v>
      </c>
      <c r="AM113" s="32"/>
      <c r="AN113" s="32"/>
      <c r="AO113" s="53"/>
      <c r="AP113" s="21" t="str">
        <f>IFERROR(VLOOKUP(October[[#This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21" t="str">
        <f>IFERROR(VLOOKUP(October[[#This Row],[Drug Name7]],'Data Options'!$R$1:$S$100,2,FALSE), " ")</f>
        <v xml:space="preserve"> </v>
      </c>
      <c r="AZ113" s="32"/>
      <c r="BA113" s="32"/>
      <c r="BB113" s="53"/>
      <c r="BC113" s="21" t="str">
        <f>IFERROR(VLOOKUP(October[[#This Row],[Drug Name8]],'Data Options'!$R$1:$S$100,2,FALSE), " ")</f>
        <v xml:space="preserve"> </v>
      </c>
      <c r="BD113" s="32"/>
      <c r="BE113" s="32"/>
      <c r="BF113" s="53"/>
      <c r="BG113" s="21" t="str">
        <f>IFERROR(VLOOKUP(October[[#This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21" t="str">
        <f>IFERROR(VLOOKUP(October[[#This Row],[Drug Name]],'Data Options'!$R$1:$S$100,2,FALSE), " ")</f>
        <v xml:space="preserve"> </v>
      </c>
      <c r="R114" s="32"/>
      <c r="S114" s="32"/>
      <c r="T114" s="53"/>
      <c r="U114" s="21" t="str">
        <f>IFERROR(VLOOKUP(October[[#This Row],[Drug Name2]],'Data Options'!$R$1:$S$100,2,FALSE), " ")</f>
        <v xml:space="preserve"> </v>
      </c>
      <c r="V114" s="32"/>
      <c r="W114" s="32"/>
      <c r="X114" s="53"/>
      <c r="Y114" s="21" t="str">
        <f>IFERROR(VLOOKUP(October[[#This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21" t="str">
        <f>IFERROR(VLOOKUP(October[[#This Row],[Drug Name4]],'Data Options'!$R$1:$S$100,2,FALSE), " ")</f>
        <v xml:space="preserve"> </v>
      </c>
      <c r="AI114" s="32"/>
      <c r="AJ114" s="32"/>
      <c r="AK114" s="53"/>
      <c r="AL114" s="21" t="str">
        <f>IFERROR(VLOOKUP(October[[#This Row],[Drug Name5]],'Data Options'!$R$1:$S$100,2,FALSE), " ")</f>
        <v xml:space="preserve"> </v>
      </c>
      <c r="AM114" s="32"/>
      <c r="AN114" s="32"/>
      <c r="AO114" s="53"/>
      <c r="AP114" s="21" t="str">
        <f>IFERROR(VLOOKUP(October[[#This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21" t="str">
        <f>IFERROR(VLOOKUP(October[[#This Row],[Drug Name7]],'Data Options'!$R$1:$S$100,2,FALSE), " ")</f>
        <v xml:space="preserve"> </v>
      </c>
      <c r="AZ114" s="32"/>
      <c r="BA114" s="32"/>
      <c r="BB114" s="53"/>
      <c r="BC114" s="21" t="str">
        <f>IFERROR(VLOOKUP(October[[#This Row],[Drug Name8]],'Data Options'!$R$1:$S$100,2,FALSE), " ")</f>
        <v xml:space="preserve"> </v>
      </c>
      <c r="BD114" s="32"/>
      <c r="BE114" s="32"/>
      <c r="BF114" s="53"/>
      <c r="BG114" s="21" t="str">
        <f>IFERROR(VLOOKUP(October[[#This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21" t="str">
        <f>IFERROR(VLOOKUP(October[[#This Row],[Drug Name]],'Data Options'!$R$1:$S$100,2,FALSE), " ")</f>
        <v xml:space="preserve"> </v>
      </c>
      <c r="R115" s="32"/>
      <c r="S115" s="32"/>
      <c r="T115" s="53"/>
      <c r="U115" s="21" t="str">
        <f>IFERROR(VLOOKUP(October[[#This Row],[Drug Name2]],'Data Options'!$R$1:$S$100,2,FALSE), " ")</f>
        <v xml:space="preserve"> </v>
      </c>
      <c r="V115" s="32"/>
      <c r="W115" s="32"/>
      <c r="X115" s="53"/>
      <c r="Y115" s="21" t="str">
        <f>IFERROR(VLOOKUP(October[[#This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21" t="str">
        <f>IFERROR(VLOOKUP(October[[#This Row],[Drug Name4]],'Data Options'!$R$1:$S$100,2,FALSE), " ")</f>
        <v xml:space="preserve"> </v>
      </c>
      <c r="AI115" s="32"/>
      <c r="AJ115" s="32"/>
      <c r="AK115" s="53"/>
      <c r="AL115" s="21" t="str">
        <f>IFERROR(VLOOKUP(October[[#This Row],[Drug Name5]],'Data Options'!$R$1:$S$100,2,FALSE), " ")</f>
        <v xml:space="preserve"> </v>
      </c>
      <c r="AM115" s="32"/>
      <c r="AN115" s="32"/>
      <c r="AO115" s="53"/>
      <c r="AP115" s="21" t="str">
        <f>IFERROR(VLOOKUP(October[[#This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21" t="str">
        <f>IFERROR(VLOOKUP(October[[#This Row],[Drug Name7]],'Data Options'!$R$1:$S$100,2,FALSE), " ")</f>
        <v xml:space="preserve"> </v>
      </c>
      <c r="AZ115" s="32"/>
      <c r="BA115" s="32"/>
      <c r="BB115" s="53"/>
      <c r="BC115" s="21" t="str">
        <f>IFERROR(VLOOKUP(October[[#This Row],[Drug Name8]],'Data Options'!$R$1:$S$100,2,FALSE), " ")</f>
        <v xml:space="preserve"> </v>
      </c>
      <c r="BD115" s="32"/>
      <c r="BE115" s="32"/>
      <c r="BF115" s="53"/>
      <c r="BG115" s="21" t="str">
        <f>IFERROR(VLOOKUP(October[[#This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21" t="str">
        <f>IFERROR(VLOOKUP(October[[#This Row],[Drug Name]],'Data Options'!$R$1:$S$100,2,FALSE), " ")</f>
        <v xml:space="preserve"> </v>
      </c>
      <c r="R116" s="32"/>
      <c r="S116" s="32"/>
      <c r="T116" s="53"/>
      <c r="U116" s="21" t="str">
        <f>IFERROR(VLOOKUP(October[[#This Row],[Drug Name2]],'Data Options'!$R$1:$S$100,2,FALSE), " ")</f>
        <v xml:space="preserve"> </v>
      </c>
      <c r="V116" s="32"/>
      <c r="W116" s="32"/>
      <c r="X116" s="53"/>
      <c r="Y116" s="21" t="str">
        <f>IFERROR(VLOOKUP(October[[#This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21" t="str">
        <f>IFERROR(VLOOKUP(October[[#This Row],[Drug Name4]],'Data Options'!$R$1:$S$100,2,FALSE), " ")</f>
        <v xml:space="preserve"> </v>
      </c>
      <c r="AI116" s="32"/>
      <c r="AJ116" s="32"/>
      <c r="AK116" s="53"/>
      <c r="AL116" s="21" t="str">
        <f>IFERROR(VLOOKUP(October[[#This Row],[Drug Name5]],'Data Options'!$R$1:$S$100,2,FALSE), " ")</f>
        <v xml:space="preserve"> </v>
      </c>
      <c r="AM116" s="32"/>
      <c r="AN116" s="32"/>
      <c r="AO116" s="53"/>
      <c r="AP116" s="21" t="str">
        <f>IFERROR(VLOOKUP(October[[#This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21" t="str">
        <f>IFERROR(VLOOKUP(October[[#This Row],[Drug Name7]],'Data Options'!$R$1:$S$100,2,FALSE), " ")</f>
        <v xml:space="preserve"> </v>
      </c>
      <c r="AZ116" s="32"/>
      <c r="BA116" s="32"/>
      <c r="BB116" s="53"/>
      <c r="BC116" s="21" t="str">
        <f>IFERROR(VLOOKUP(October[[#This Row],[Drug Name8]],'Data Options'!$R$1:$S$100,2,FALSE), " ")</f>
        <v xml:space="preserve"> </v>
      </c>
      <c r="BD116" s="32"/>
      <c r="BE116" s="32"/>
      <c r="BF116" s="53"/>
      <c r="BG116" s="21" t="str">
        <f>IFERROR(VLOOKUP(October[[#This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21" t="str">
        <f>IFERROR(VLOOKUP(October[[#This Row],[Drug Name]],'Data Options'!$R$1:$S$100,2,FALSE), " ")</f>
        <v xml:space="preserve"> </v>
      </c>
      <c r="R117" s="32"/>
      <c r="S117" s="32"/>
      <c r="T117" s="53"/>
      <c r="U117" s="21" t="str">
        <f>IFERROR(VLOOKUP(October[[#This Row],[Drug Name2]],'Data Options'!$R$1:$S$100,2,FALSE), " ")</f>
        <v xml:space="preserve"> </v>
      </c>
      <c r="V117" s="32"/>
      <c r="W117" s="32"/>
      <c r="X117" s="53"/>
      <c r="Y117" s="21" t="str">
        <f>IFERROR(VLOOKUP(October[[#This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21" t="str">
        <f>IFERROR(VLOOKUP(October[[#This Row],[Drug Name4]],'Data Options'!$R$1:$S$100,2,FALSE), " ")</f>
        <v xml:space="preserve"> </v>
      </c>
      <c r="AI117" s="32"/>
      <c r="AJ117" s="32"/>
      <c r="AK117" s="53"/>
      <c r="AL117" s="21" t="str">
        <f>IFERROR(VLOOKUP(October[[#This Row],[Drug Name5]],'Data Options'!$R$1:$S$100,2,FALSE), " ")</f>
        <v xml:space="preserve"> </v>
      </c>
      <c r="AM117" s="32"/>
      <c r="AN117" s="32"/>
      <c r="AO117" s="53"/>
      <c r="AP117" s="21" t="str">
        <f>IFERROR(VLOOKUP(October[[#This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21" t="str">
        <f>IFERROR(VLOOKUP(October[[#This Row],[Drug Name7]],'Data Options'!$R$1:$S$100,2,FALSE), " ")</f>
        <v xml:space="preserve"> </v>
      </c>
      <c r="AZ117" s="32"/>
      <c r="BA117" s="32"/>
      <c r="BB117" s="53"/>
      <c r="BC117" s="21" t="str">
        <f>IFERROR(VLOOKUP(October[[#This Row],[Drug Name8]],'Data Options'!$R$1:$S$100,2,FALSE), " ")</f>
        <v xml:space="preserve"> </v>
      </c>
      <c r="BD117" s="32"/>
      <c r="BE117" s="32"/>
      <c r="BF117" s="53"/>
      <c r="BG117" s="21" t="str">
        <f>IFERROR(VLOOKUP(October[[#This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21" t="str">
        <f>IFERROR(VLOOKUP(October[[#This Row],[Drug Name]],'Data Options'!$R$1:$S$100,2,FALSE), " ")</f>
        <v xml:space="preserve"> </v>
      </c>
      <c r="R118" s="32"/>
      <c r="S118" s="32"/>
      <c r="T118" s="53"/>
      <c r="U118" s="21" t="str">
        <f>IFERROR(VLOOKUP(October[[#This Row],[Drug Name2]],'Data Options'!$R$1:$S$100,2,FALSE), " ")</f>
        <v xml:space="preserve"> </v>
      </c>
      <c r="V118" s="32"/>
      <c r="W118" s="32"/>
      <c r="X118" s="53"/>
      <c r="Y118" s="21" t="str">
        <f>IFERROR(VLOOKUP(October[[#This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21" t="str">
        <f>IFERROR(VLOOKUP(October[[#This Row],[Drug Name4]],'Data Options'!$R$1:$S$100,2,FALSE), " ")</f>
        <v xml:space="preserve"> </v>
      </c>
      <c r="AI118" s="32"/>
      <c r="AJ118" s="32"/>
      <c r="AK118" s="53"/>
      <c r="AL118" s="21" t="str">
        <f>IFERROR(VLOOKUP(October[[#This Row],[Drug Name5]],'Data Options'!$R$1:$S$100,2,FALSE), " ")</f>
        <v xml:space="preserve"> </v>
      </c>
      <c r="AM118" s="32"/>
      <c r="AN118" s="32"/>
      <c r="AO118" s="53"/>
      <c r="AP118" s="21" t="str">
        <f>IFERROR(VLOOKUP(October[[#This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21" t="str">
        <f>IFERROR(VLOOKUP(October[[#This Row],[Drug Name7]],'Data Options'!$R$1:$S$100,2,FALSE), " ")</f>
        <v xml:space="preserve"> </v>
      </c>
      <c r="AZ118" s="32"/>
      <c r="BA118" s="32"/>
      <c r="BB118" s="53"/>
      <c r="BC118" s="21" t="str">
        <f>IFERROR(VLOOKUP(October[[#This Row],[Drug Name8]],'Data Options'!$R$1:$S$100,2,FALSE), " ")</f>
        <v xml:space="preserve"> </v>
      </c>
      <c r="BD118" s="32"/>
      <c r="BE118" s="32"/>
      <c r="BF118" s="53"/>
      <c r="BG118" s="21" t="str">
        <f>IFERROR(VLOOKUP(October[[#This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21" t="str">
        <f>IFERROR(VLOOKUP(October[[#This Row],[Drug Name]],'Data Options'!$R$1:$S$100,2,FALSE), " ")</f>
        <v xml:space="preserve"> </v>
      </c>
      <c r="R119" s="32"/>
      <c r="S119" s="32"/>
      <c r="T119" s="53"/>
      <c r="U119" s="21" t="str">
        <f>IFERROR(VLOOKUP(October[[#This Row],[Drug Name2]],'Data Options'!$R$1:$S$100,2,FALSE), " ")</f>
        <v xml:space="preserve"> </v>
      </c>
      <c r="V119" s="32"/>
      <c r="W119" s="32"/>
      <c r="X119" s="53"/>
      <c r="Y119" s="21" t="str">
        <f>IFERROR(VLOOKUP(October[[#This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21" t="str">
        <f>IFERROR(VLOOKUP(October[[#This Row],[Drug Name4]],'Data Options'!$R$1:$S$100,2,FALSE), " ")</f>
        <v xml:space="preserve"> </v>
      </c>
      <c r="AI119" s="32"/>
      <c r="AJ119" s="32"/>
      <c r="AK119" s="53"/>
      <c r="AL119" s="21" t="str">
        <f>IFERROR(VLOOKUP(October[[#This Row],[Drug Name5]],'Data Options'!$R$1:$S$100,2,FALSE), " ")</f>
        <v xml:space="preserve"> </v>
      </c>
      <c r="AM119" s="32"/>
      <c r="AN119" s="32"/>
      <c r="AO119" s="53"/>
      <c r="AP119" s="21" t="str">
        <f>IFERROR(VLOOKUP(October[[#This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21" t="str">
        <f>IFERROR(VLOOKUP(October[[#This Row],[Drug Name7]],'Data Options'!$R$1:$S$100,2,FALSE), " ")</f>
        <v xml:space="preserve"> </v>
      </c>
      <c r="AZ119" s="32"/>
      <c r="BA119" s="32"/>
      <c r="BB119" s="53"/>
      <c r="BC119" s="21" t="str">
        <f>IFERROR(VLOOKUP(October[[#This Row],[Drug Name8]],'Data Options'!$R$1:$S$100,2,FALSE), " ")</f>
        <v xml:space="preserve"> </v>
      </c>
      <c r="BD119" s="32"/>
      <c r="BE119" s="32"/>
      <c r="BF119" s="53"/>
      <c r="BG119" s="21" t="str">
        <f>IFERROR(VLOOKUP(October[[#This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21" t="str">
        <f>IFERROR(VLOOKUP(October[[#This Row],[Drug Name]],'Data Options'!$R$1:$S$100,2,FALSE), " ")</f>
        <v xml:space="preserve"> </v>
      </c>
      <c r="R120" s="32"/>
      <c r="S120" s="32"/>
      <c r="T120" s="53"/>
      <c r="U120" s="21" t="str">
        <f>IFERROR(VLOOKUP(October[[#This Row],[Drug Name2]],'Data Options'!$R$1:$S$100,2,FALSE), " ")</f>
        <v xml:space="preserve"> </v>
      </c>
      <c r="V120" s="32"/>
      <c r="W120" s="32"/>
      <c r="X120" s="53"/>
      <c r="Y120" s="21" t="str">
        <f>IFERROR(VLOOKUP(October[[#This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21" t="str">
        <f>IFERROR(VLOOKUP(October[[#This Row],[Drug Name4]],'Data Options'!$R$1:$S$100,2,FALSE), " ")</f>
        <v xml:space="preserve"> </v>
      </c>
      <c r="AI120" s="32"/>
      <c r="AJ120" s="32"/>
      <c r="AK120" s="53"/>
      <c r="AL120" s="21" t="str">
        <f>IFERROR(VLOOKUP(October[[#This Row],[Drug Name5]],'Data Options'!$R$1:$S$100,2,FALSE), " ")</f>
        <v xml:space="preserve"> </v>
      </c>
      <c r="AM120" s="32"/>
      <c r="AN120" s="32"/>
      <c r="AO120" s="53"/>
      <c r="AP120" s="21" t="str">
        <f>IFERROR(VLOOKUP(October[[#This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21" t="str">
        <f>IFERROR(VLOOKUP(October[[#This Row],[Drug Name7]],'Data Options'!$R$1:$S$100,2,FALSE), " ")</f>
        <v xml:space="preserve"> </v>
      </c>
      <c r="AZ120" s="32"/>
      <c r="BA120" s="32"/>
      <c r="BB120" s="53"/>
      <c r="BC120" s="21" t="str">
        <f>IFERROR(VLOOKUP(October[[#This Row],[Drug Name8]],'Data Options'!$R$1:$S$100,2,FALSE), " ")</f>
        <v xml:space="preserve"> </v>
      </c>
      <c r="BD120" s="32"/>
      <c r="BE120" s="32"/>
      <c r="BF120" s="53"/>
      <c r="BG120" s="21" t="str">
        <f>IFERROR(VLOOKUP(October[[#This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21" t="str">
        <f>IFERROR(VLOOKUP(October[[#This Row],[Drug Name]],'Data Options'!$R$1:$S$100,2,FALSE), " ")</f>
        <v xml:space="preserve"> </v>
      </c>
      <c r="R121" s="32"/>
      <c r="S121" s="32"/>
      <c r="T121" s="53"/>
      <c r="U121" s="21" t="str">
        <f>IFERROR(VLOOKUP(October[[#This Row],[Drug Name2]],'Data Options'!$R$1:$S$100,2,FALSE), " ")</f>
        <v xml:space="preserve"> </v>
      </c>
      <c r="V121" s="32"/>
      <c r="W121" s="32"/>
      <c r="X121" s="53"/>
      <c r="Y121" s="21" t="str">
        <f>IFERROR(VLOOKUP(October[[#This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21" t="str">
        <f>IFERROR(VLOOKUP(October[[#This Row],[Drug Name4]],'Data Options'!$R$1:$S$100,2,FALSE), " ")</f>
        <v xml:space="preserve"> </v>
      </c>
      <c r="AI121" s="32"/>
      <c r="AJ121" s="32"/>
      <c r="AK121" s="53"/>
      <c r="AL121" s="21" t="str">
        <f>IFERROR(VLOOKUP(October[[#This Row],[Drug Name5]],'Data Options'!$R$1:$S$100,2,FALSE), " ")</f>
        <v xml:space="preserve"> </v>
      </c>
      <c r="AM121" s="32"/>
      <c r="AN121" s="32"/>
      <c r="AO121" s="53"/>
      <c r="AP121" s="21" t="str">
        <f>IFERROR(VLOOKUP(October[[#This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21" t="str">
        <f>IFERROR(VLOOKUP(October[[#This Row],[Drug Name7]],'Data Options'!$R$1:$S$100,2,FALSE), " ")</f>
        <v xml:space="preserve"> </v>
      </c>
      <c r="AZ121" s="32"/>
      <c r="BA121" s="32"/>
      <c r="BB121" s="53"/>
      <c r="BC121" s="21" t="str">
        <f>IFERROR(VLOOKUP(October[[#This Row],[Drug Name8]],'Data Options'!$R$1:$S$100,2,FALSE), " ")</f>
        <v xml:space="preserve"> </v>
      </c>
      <c r="BD121" s="32"/>
      <c r="BE121" s="32"/>
      <c r="BF121" s="53"/>
      <c r="BG121" s="21" t="str">
        <f>IFERROR(VLOOKUP(October[[#This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21" t="str">
        <f>IFERROR(VLOOKUP(October[[#This Row],[Drug Name]],'Data Options'!$R$1:$S$100,2,FALSE), " ")</f>
        <v xml:space="preserve"> </v>
      </c>
      <c r="R122" s="32"/>
      <c r="S122" s="32"/>
      <c r="T122" s="53"/>
      <c r="U122" s="21" t="str">
        <f>IFERROR(VLOOKUP(October[[#This Row],[Drug Name2]],'Data Options'!$R$1:$S$100,2,FALSE), " ")</f>
        <v xml:space="preserve"> </v>
      </c>
      <c r="V122" s="32"/>
      <c r="W122" s="32"/>
      <c r="X122" s="53"/>
      <c r="Y122" s="21" t="str">
        <f>IFERROR(VLOOKUP(October[[#This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21" t="str">
        <f>IFERROR(VLOOKUP(October[[#This Row],[Drug Name4]],'Data Options'!$R$1:$S$100,2,FALSE), " ")</f>
        <v xml:space="preserve"> </v>
      </c>
      <c r="AI122" s="32"/>
      <c r="AJ122" s="32"/>
      <c r="AK122" s="53"/>
      <c r="AL122" s="21" t="str">
        <f>IFERROR(VLOOKUP(October[[#This Row],[Drug Name5]],'Data Options'!$R$1:$S$100,2,FALSE), " ")</f>
        <v xml:space="preserve"> </v>
      </c>
      <c r="AM122" s="32"/>
      <c r="AN122" s="32"/>
      <c r="AO122" s="53"/>
      <c r="AP122" s="21" t="str">
        <f>IFERROR(VLOOKUP(October[[#This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21" t="str">
        <f>IFERROR(VLOOKUP(October[[#This Row],[Drug Name7]],'Data Options'!$R$1:$S$100,2,FALSE), " ")</f>
        <v xml:space="preserve"> </v>
      </c>
      <c r="AZ122" s="32"/>
      <c r="BA122" s="32"/>
      <c r="BB122" s="53"/>
      <c r="BC122" s="21" t="str">
        <f>IFERROR(VLOOKUP(October[[#This Row],[Drug Name8]],'Data Options'!$R$1:$S$100,2,FALSE), " ")</f>
        <v xml:space="preserve"> </v>
      </c>
      <c r="BD122" s="32"/>
      <c r="BE122" s="32"/>
      <c r="BF122" s="53"/>
      <c r="BG122" s="21" t="str">
        <f>IFERROR(VLOOKUP(October[[#This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21" t="str">
        <f>IFERROR(VLOOKUP(October[[#This Row],[Drug Name]],'Data Options'!$R$1:$S$100,2,FALSE), " ")</f>
        <v xml:space="preserve"> </v>
      </c>
      <c r="R123" s="32"/>
      <c r="S123" s="32"/>
      <c r="T123" s="53"/>
      <c r="U123" s="21" t="str">
        <f>IFERROR(VLOOKUP(October[[#This Row],[Drug Name2]],'Data Options'!$R$1:$S$100,2,FALSE), " ")</f>
        <v xml:space="preserve"> </v>
      </c>
      <c r="V123" s="32"/>
      <c r="W123" s="32"/>
      <c r="X123" s="53"/>
      <c r="Y123" s="21" t="str">
        <f>IFERROR(VLOOKUP(October[[#This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21" t="str">
        <f>IFERROR(VLOOKUP(October[[#This Row],[Drug Name4]],'Data Options'!$R$1:$S$100,2,FALSE), " ")</f>
        <v xml:space="preserve"> </v>
      </c>
      <c r="AI123" s="32"/>
      <c r="AJ123" s="32"/>
      <c r="AK123" s="53"/>
      <c r="AL123" s="21" t="str">
        <f>IFERROR(VLOOKUP(October[[#This Row],[Drug Name5]],'Data Options'!$R$1:$S$100,2,FALSE), " ")</f>
        <v xml:space="preserve"> </v>
      </c>
      <c r="AM123" s="32"/>
      <c r="AN123" s="32"/>
      <c r="AO123" s="53"/>
      <c r="AP123" s="21" t="str">
        <f>IFERROR(VLOOKUP(October[[#This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21" t="str">
        <f>IFERROR(VLOOKUP(October[[#This Row],[Drug Name7]],'Data Options'!$R$1:$S$100,2,FALSE), " ")</f>
        <v xml:space="preserve"> </v>
      </c>
      <c r="AZ123" s="32"/>
      <c r="BA123" s="32"/>
      <c r="BB123" s="53"/>
      <c r="BC123" s="21" t="str">
        <f>IFERROR(VLOOKUP(October[[#This Row],[Drug Name8]],'Data Options'!$R$1:$S$100,2,FALSE), " ")</f>
        <v xml:space="preserve"> </v>
      </c>
      <c r="BD123" s="32"/>
      <c r="BE123" s="32"/>
      <c r="BF123" s="53"/>
      <c r="BG123" s="21" t="str">
        <f>IFERROR(VLOOKUP(October[[#This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21" t="str">
        <f>IFERROR(VLOOKUP(October[[#This Row],[Drug Name]],'Data Options'!$R$1:$S$100,2,FALSE), " ")</f>
        <v xml:space="preserve"> </v>
      </c>
      <c r="R124" s="32"/>
      <c r="S124" s="32"/>
      <c r="T124" s="53"/>
      <c r="U124" s="21" t="str">
        <f>IFERROR(VLOOKUP(October[[#This Row],[Drug Name2]],'Data Options'!$R$1:$S$100,2,FALSE), " ")</f>
        <v xml:space="preserve"> </v>
      </c>
      <c r="V124" s="32"/>
      <c r="W124" s="32"/>
      <c r="X124" s="53"/>
      <c r="Y124" s="21" t="str">
        <f>IFERROR(VLOOKUP(October[[#This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21" t="str">
        <f>IFERROR(VLOOKUP(October[[#This Row],[Drug Name4]],'Data Options'!$R$1:$S$100,2,FALSE), " ")</f>
        <v xml:space="preserve"> </v>
      </c>
      <c r="AI124" s="32"/>
      <c r="AJ124" s="32"/>
      <c r="AK124" s="53"/>
      <c r="AL124" s="21" t="str">
        <f>IFERROR(VLOOKUP(October[[#This Row],[Drug Name5]],'Data Options'!$R$1:$S$100,2,FALSE), " ")</f>
        <v xml:space="preserve"> </v>
      </c>
      <c r="AM124" s="32"/>
      <c r="AN124" s="32"/>
      <c r="AO124" s="53"/>
      <c r="AP124" s="21" t="str">
        <f>IFERROR(VLOOKUP(October[[#This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21" t="str">
        <f>IFERROR(VLOOKUP(October[[#This Row],[Drug Name7]],'Data Options'!$R$1:$S$100,2,FALSE), " ")</f>
        <v xml:space="preserve"> </v>
      </c>
      <c r="AZ124" s="32"/>
      <c r="BA124" s="32"/>
      <c r="BB124" s="53"/>
      <c r="BC124" s="21" t="str">
        <f>IFERROR(VLOOKUP(October[[#This Row],[Drug Name8]],'Data Options'!$R$1:$S$100,2,FALSE), " ")</f>
        <v xml:space="preserve"> </v>
      </c>
      <c r="BD124" s="32"/>
      <c r="BE124" s="32"/>
      <c r="BF124" s="53"/>
      <c r="BG124" s="21" t="str">
        <f>IFERROR(VLOOKUP(October[[#This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21" t="str">
        <f>IFERROR(VLOOKUP(October[[#This Row],[Drug Name]],'Data Options'!$R$1:$S$100,2,FALSE), " ")</f>
        <v xml:space="preserve"> </v>
      </c>
      <c r="R125" s="32"/>
      <c r="S125" s="32"/>
      <c r="T125" s="53"/>
      <c r="U125" s="21" t="str">
        <f>IFERROR(VLOOKUP(October[[#This Row],[Drug Name2]],'Data Options'!$R$1:$S$100,2,FALSE), " ")</f>
        <v xml:space="preserve"> </v>
      </c>
      <c r="V125" s="32"/>
      <c r="W125" s="32"/>
      <c r="X125" s="53"/>
      <c r="Y125" s="21" t="str">
        <f>IFERROR(VLOOKUP(October[[#This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21" t="str">
        <f>IFERROR(VLOOKUP(October[[#This Row],[Drug Name4]],'Data Options'!$R$1:$S$100,2,FALSE), " ")</f>
        <v xml:space="preserve"> </v>
      </c>
      <c r="AI125" s="32"/>
      <c r="AJ125" s="32"/>
      <c r="AK125" s="53"/>
      <c r="AL125" s="21" t="str">
        <f>IFERROR(VLOOKUP(October[[#This Row],[Drug Name5]],'Data Options'!$R$1:$S$100,2,FALSE), " ")</f>
        <v xml:space="preserve"> </v>
      </c>
      <c r="AM125" s="32"/>
      <c r="AN125" s="32"/>
      <c r="AO125" s="53"/>
      <c r="AP125" s="21" t="str">
        <f>IFERROR(VLOOKUP(October[[#This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21" t="str">
        <f>IFERROR(VLOOKUP(October[[#This Row],[Drug Name7]],'Data Options'!$R$1:$S$100,2,FALSE), " ")</f>
        <v xml:space="preserve"> </v>
      </c>
      <c r="AZ125" s="32"/>
      <c r="BA125" s="32"/>
      <c r="BB125" s="53"/>
      <c r="BC125" s="21" t="str">
        <f>IFERROR(VLOOKUP(October[[#This Row],[Drug Name8]],'Data Options'!$R$1:$S$100,2,FALSE), " ")</f>
        <v xml:space="preserve"> </v>
      </c>
      <c r="BD125" s="32"/>
      <c r="BE125" s="32"/>
      <c r="BF125" s="53"/>
      <c r="BG125" s="21" t="str">
        <f>IFERROR(VLOOKUP(October[[#This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21" t="str">
        <f>IFERROR(VLOOKUP(October[[#This Row],[Drug Name]],'Data Options'!$R$1:$S$100,2,FALSE), " ")</f>
        <v xml:space="preserve"> </v>
      </c>
      <c r="R126" s="32"/>
      <c r="S126" s="32"/>
      <c r="T126" s="53"/>
      <c r="U126" s="21" t="str">
        <f>IFERROR(VLOOKUP(October[[#This Row],[Drug Name2]],'Data Options'!$R$1:$S$100,2,FALSE), " ")</f>
        <v xml:space="preserve"> </v>
      </c>
      <c r="V126" s="32"/>
      <c r="W126" s="32"/>
      <c r="X126" s="53"/>
      <c r="Y126" s="21" t="str">
        <f>IFERROR(VLOOKUP(October[[#This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21" t="str">
        <f>IFERROR(VLOOKUP(October[[#This Row],[Drug Name4]],'Data Options'!$R$1:$S$100,2,FALSE), " ")</f>
        <v xml:space="preserve"> </v>
      </c>
      <c r="AI126" s="32"/>
      <c r="AJ126" s="32"/>
      <c r="AK126" s="53"/>
      <c r="AL126" s="21" t="str">
        <f>IFERROR(VLOOKUP(October[[#This Row],[Drug Name5]],'Data Options'!$R$1:$S$100,2,FALSE), " ")</f>
        <v xml:space="preserve"> </v>
      </c>
      <c r="AM126" s="32"/>
      <c r="AN126" s="32"/>
      <c r="AO126" s="53"/>
      <c r="AP126" s="21" t="str">
        <f>IFERROR(VLOOKUP(October[[#This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21" t="str">
        <f>IFERROR(VLOOKUP(October[[#This Row],[Drug Name7]],'Data Options'!$R$1:$S$100,2,FALSE), " ")</f>
        <v xml:space="preserve"> </v>
      </c>
      <c r="AZ126" s="32"/>
      <c r="BA126" s="32"/>
      <c r="BB126" s="53"/>
      <c r="BC126" s="21" t="str">
        <f>IFERROR(VLOOKUP(October[[#This Row],[Drug Name8]],'Data Options'!$R$1:$S$100,2,FALSE), " ")</f>
        <v xml:space="preserve"> </v>
      </c>
      <c r="BD126" s="32"/>
      <c r="BE126" s="32"/>
      <c r="BF126" s="53"/>
      <c r="BG126" s="21" t="str">
        <f>IFERROR(VLOOKUP(October[[#This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21" t="str">
        <f>IFERROR(VLOOKUP(October[[#This Row],[Drug Name]],'Data Options'!$R$1:$S$100,2,FALSE), " ")</f>
        <v xml:space="preserve"> </v>
      </c>
      <c r="R127" s="32"/>
      <c r="S127" s="32"/>
      <c r="T127" s="53"/>
      <c r="U127" s="21" t="str">
        <f>IFERROR(VLOOKUP(October[[#This Row],[Drug Name2]],'Data Options'!$R$1:$S$100,2,FALSE), " ")</f>
        <v xml:space="preserve"> </v>
      </c>
      <c r="V127" s="32"/>
      <c r="W127" s="32"/>
      <c r="X127" s="53"/>
      <c r="Y127" s="21" t="str">
        <f>IFERROR(VLOOKUP(October[[#This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21" t="str">
        <f>IFERROR(VLOOKUP(October[[#This Row],[Drug Name4]],'Data Options'!$R$1:$S$100,2,FALSE), " ")</f>
        <v xml:space="preserve"> </v>
      </c>
      <c r="AI127" s="32"/>
      <c r="AJ127" s="32"/>
      <c r="AK127" s="53"/>
      <c r="AL127" s="21" t="str">
        <f>IFERROR(VLOOKUP(October[[#This Row],[Drug Name5]],'Data Options'!$R$1:$S$100,2,FALSE), " ")</f>
        <v xml:space="preserve"> </v>
      </c>
      <c r="AM127" s="32"/>
      <c r="AN127" s="32"/>
      <c r="AO127" s="53"/>
      <c r="AP127" s="21" t="str">
        <f>IFERROR(VLOOKUP(October[[#This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21" t="str">
        <f>IFERROR(VLOOKUP(October[[#This Row],[Drug Name7]],'Data Options'!$R$1:$S$100,2,FALSE), " ")</f>
        <v xml:space="preserve"> </v>
      </c>
      <c r="AZ127" s="32"/>
      <c r="BA127" s="32"/>
      <c r="BB127" s="53"/>
      <c r="BC127" s="21" t="str">
        <f>IFERROR(VLOOKUP(October[[#This Row],[Drug Name8]],'Data Options'!$R$1:$S$100,2,FALSE), " ")</f>
        <v xml:space="preserve"> </v>
      </c>
      <c r="BD127" s="32"/>
      <c r="BE127" s="32"/>
      <c r="BF127" s="53"/>
      <c r="BG127" s="21" t="str">
        <f>IFERROR(VLOOKUP(October[[#This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21" t="str">
        <f>IFERROR(VLOOKUP(October[[#This Row],[Drug Name]],'Data Options'!$R$1:$S$100,2,FALSE), " ")</f>
        <v xml:space="preserve"> </v>
      </c>
      <c r="R128" s="32"/>
      <c r="S128" s="32"/>
      <c r="T128" s="53"/>
      <c r="U128" s="21" t="str">
        <f>IFERROR(VLOOKUP(October[[#This Row],[Drug Name2]],'Data Options'!$R$1:$S$100,2,FALSE), " ")</f>
        <v xml:space="preserve"> </v>
      </c>
      <c r="V128" s="32"/>
      <c r="W128" s="32"/>
      <c r="X128" s="53"/>
      <c r="Y128" s="21" t="str">
        <f>IFERROR(VLOOKUP(October[[#This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21" t="str">
        <f>IFERROR(VLOOKUP(October[[#This Row],[Drug Name4]],'Data Options'!$R$1:$S$100,2,FALSE), " ")</f>
        <v xml:space="preserve"> </v>
      </c>
      <c r="AI128" s="32"/>
      <c r="AJ128" s="32"/>
      <c r="AK128" s="53"/>
      <c r="AL128" s="21" t="str">
        <f>IFERROR(VLOOKUP(October[[#This Row],[Drug Name5]],'Data Options'!$R$1:$S$100,2,FALSE), " ")</f>
        <v xml:space="preserve"> </v>
      </c>
      <c r="AM128" s="32"/>
      <c r="AN128" s="32"/>
      <c r="AO128" s="53"/>
      <c r="AP128" s="21" t="str">
        <f>IFERROR(VLOOKUP(October[[#This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21" t="str">
        <f>IFERROR(VLOOKUP(October[[#This Row],[Drug Name7]],'Data Options'!$R$1:$S$100,2,FALSE), " ")</f>
        <v xml:space="preserve"> </v>
      </c>
      <c r="AZ128" s="32"/>
      <c r="BA128" s="32"/>
      <c r="BB128" s="53"/>
      <c r="BC128" s="21" t="str">
        <f>IFERROR(VLOOKUP(October[[#This Row],[Drug Name8]],'Data Options'!$R$1:$S$100,2,FALSE), " ")</f>
        <v xml:space="preserve"> </v>
      </c>
      <c r="BD128" s="32"/>
      <c r="BE128" s="32"/>
      <c r="BF128" s="53"/>
      <c r="BG128" s="21" t="str">
        <f>IFERROR(VLOOKUP(October[[#This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21" t="str">
        <f>IFERROR(VLOOKUP(October[[#This Row],[Drug Name]],'Data Options'!$R$1:$S$100,2,FALSE), " ")</f>
        <v xml:space="preserve"> </v>
      </c>
      <c r="R129" s="32"/>
      <c r="S129" s="32"/>
      <c r="T129" s="53"/>
      <c r="U129" s="21" t="str">
        <f>IFERROR(VLOOKUP(October[[#This Row],[Drug Name2]],'Data Options'!$R$1:$S$100,2,FALSE), " ")</f>
        <v xml:space="preserve"> </v>
      </c>
      <c r="V129" s="32"/>
      <c r="W129" s="32"/>
      <c r="X129" s="53"/>
      <c r="Y129" s="21" t="str">
        <f>IFERROR(VLOOKUP(October[[#This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21" t="str">
        <f>IFERROR(VLOOKUP(October[[#This Row],[Drug Name4]],'Data Options'!$R$1:$S$100,2,FALSE), " ")</f>
        <v xml:space="preserve"> </v>
      </c>
      <c r="AI129" s="32"/>
      <c r="AJ129" s="32"/>
      <c r="AK129" s="53"/>
      <c r="AL129" s="21" t="str">
        <f>IFERROR(VLOOKUP(October[[#This Row],[Drug Name5]],'Data Options'!$R$1:$S$100,2,FALSE), " ")</f>
        <v xml:space="preserve"> </v>
      </c>
      <c r="AM129" s="32"/>
      <c r="AN129" s="32"/>
      <c r="AO129" s="53"/>
      <c r="AP129" s="21" t="str">
        <f>IFERROR(VLOOKUP(October[[#This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21" t="str">
        <f>IFERROR(VLOOKUP(October[[#This Row],[Drug Name7]],'Data Options'!$R$1:$S$100,2,FALSE), " ")</f>
        <v xml:space="preserve"> </v>
      </c>
      <c r="AZ129" s="32"/>
      <c r="BA129" s="32"/>
      <c r="BB129" s="53"/>
      <c r="BC129" s="21" t="str">
        <f>IFERROR(VLOOKUP(October[[#This Row],[Drug Name8]],'Data Options'!$R$1:$S$100,2,FALSE), " ")</f>
        <v xml:space="preserve"> </v>
      </c>
      <c r="BD129" s="32"/>
      <c r="BE129" s="32"/>
      <c r="BF129" s="53"/>
      <c r="BG129" s="21" t="str">
        <f>IFERROR(VLOOKUP(October[[#This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21" t="str">
        <f>IFERROR(VLOOKUP(October[[#This Row],[Drug Name]],'Data Options'!$R$1:$S$100,2,FALSE), " ")</f>
        <v xml:space="preserve"> </v>
      </c>
      <c r="R130" s="32"/>
      <c r="S130" s="32"/>
      <c r="T130" s="53"/>
      <c r="U130" s="21" t="str">
        <f>IFERROR(VLOOKUP(October[[#This Row],[Drug Name2]],'Data Options'!$R$1:$S$100,2,FALSE), " ")</f>
        <v xml:space="preserve"> </v>
      </c>
      <c r="V130" s="32"/>
      <c r="W130" s="32"/>
      <c r="X130" s="53"/>
      <c r="Y130" s="21" t="str">
        <f>IFERROR(VLOOKUP(October[[#This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21" t="str">
        <f>IFERROR(VLOOKUP(October[[#This Row],[Drug Name4]],'Data Options'!$R$1:$S$100,2,FALSE), " ")</f>
        <v xml:space="preserve"> </v>
      </c>
      <c r="AI130" s="32"/>
      <c r="AJ130" s="32"/>
      <c r="AK130" s="53"/>
      <c r="AL130" s="21" t="str">
        <f>IFERROR(VLOOKUP(October[[#This Row],[Drug Name5]],'Data Options'!$R$1:$S$100,2,FALSE), " ")</f>
        <v xml:space="preserve"> </v>
      </c>
      <c r="AM130" s="32"/>
      <c r="AN130" s="32"/>
      <c r="AO130" s="53"/>
      <c r="AP130" s="21" t="str">
        <f>IFERROR(VLOOKUP(October[[#This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21" t="str">
        <f>IFERROR(VLOOKUP(October[[#This Row],[Drug Name7]],'Data Options'!$R$1:$S$100,2,FALSE), " ")</f>
        <v xml:space="preserve"> </v>
      </c>
      <c r="AZ130" s="32"/>
      <c r="BA130" s="32"/>
      <c r="BB130" s="53"/>
      <c r="BC130" s="21" t="str">
        <f>IFERROR(VLOOKUP(October[[#This Row],[Drug Name8]],'Data Options'!$R$1:$S$100,2,FALSE), " ")</f>
        <v xml:space="preserve"> </v>
      </c>
      <c r="BD130" s="32"/>
      <c r="BE130" s="32"/>
      <c r="BF130" s="53"/>
      <c r="BG130" s="21" t="str">
        <f>IFERROR(VLOOKUP(October[[#This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21" t="str">
        <f>IFERROR(VLOOKUP(October[[#This Row],[Drug Name]],'Data Options'!$R$1:$S$100,2,FALSE), " ")</f>
        <v xml:space="preserve"> </v>
      </c>
      <c r="R131" s="32"/>
      <c r="S131" s="32"/>
      <c r="T131" s="53"/>
      <c r="U131" s="21" t="str">
        <f>IFERROR(VLOOKUP(October[[#This Row],[Drug Name2]],'Data Options'!$R$1:$S$100,2,FALSE), " ")</f>
        <v xml:space="preserve"> </v>
      </c>
      <c r="V131" s="32"/>
      <c r="W131" s="32"/>
      <c r="X131" s="53"/>
      <c r="Y131" s="21" t="str">
        <f>IFERROR(VLOOKUP(October[[#This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21" t="str">
        <f>IFERROR(VLOOKUP(October[[#This Row],[Drug Name4]],'Data Options'!$R$1:$S$100,2,FALSE), " ")</f>
        <v xml:space="preserve"> </v>
      </c>
      <c r="AI131" s="32"/>
      <c r="AJ131" s="32"/>
      <c r="AK131" s="53"/>
      <c r="AL131" s="21" t="str">
        <f>IFERROR(VLOOKUP(October[[#This Row],[Drug Name5]],'Data Options'!$R$1:$S$100,2,FALSE), " ")</f>
        <v xml:space="preserve"> </v>
      </c>
      <c r="AM131" s="32"/>
      <c r="AN131" s="32"/>
      <c r="AO131" s="53"/>
      <c r="AP131" s="21" t="str">
        <f>IFERROR(VLOOKUP(October[[#This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21" t="str">
        <f>IFERROR(VLOOKUP(October[[#This Row],[Drug Name7]],'Data Options'!$R$1:$S$100,2,FALSE), " ")</f>
        <v xml:space="preserve"> </v>
      </c>
      <c r="AZ131" s="32"/>
      <c r="BA131" s="32"/>
      <c r="BB131" s="53"/>
      <c r="BC131" s="21" t="str">
        <f>IFERROR(VLOOKUP(October[[#This Row],[Drug Name8]],'Data Options'!$R$1:$S$100,2,FALSE), " ")</f>
        <v xml:space="preserve"> </v>
      </c>
      <c r="BD131" s="32"/>
      <c r="BE131" s="32"/>
      <c r="BF131" s="53"/>
      <c r="BG131" s="21" t="str">
        <f>IFERROR(VLOOKUP(October[[#This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21" t="str">
        <f>IFERROR(VLOOKUP(October[[#This Row],[Drug Name]],'Data Options'!$R$1:$S$100,2,FALSE), " ")</f>
        <v xml:space="preserve"> </v>
      </c>
      <c r="R132" s="32"/>
      <c r="S132" s="32"/>
      <c r="T132" s="53"/>
      <c r="U132" s="21" t="str">
        <f>IFERROR(VLOOKUP(October[[#This Row],[Drug Name2]],'Data Options'!$R$1:$S$100,2,FALSE), " ")</f>
        <v xml:space="preserve"> </v>
      </c>
      <c r="V132" s="32"/>
      <c r="W132" s="32"/>
      <c r="X132" s="53"/>
      <c r="Y132" s="21" t="str">
        <f>IFERROR(VLOOKUP(October[[#This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21" t="str">
        <f>IFERROR(VLOOKUP(October[[#This Row],[Drug Name4]],'Data Options'!$R$1:$S$100,2,FALSE), " ")</f>
        <v xml:space="preserve"> </v>
      </c>
      <c r="AI132" s="32"/>
      <c r="AJ132" s="32"/>
      <c r="AK132" s="53"/>
      <c r="AL132" s="21" t="str">
        <f>IFERROR(VLOOKUP(October[[#This Row],[Drug Name5]],'Data Options'!$R$1:$S$100,2,FALSE), " ")</f>
        <v xml:space="preserve"> </v>
      </c>
      <c r="AM132" s="32"/>
      <c r="AN132" s="32"/>
      <c r="AO132" s="53"/>
      <c r="AP132" s="21" t="str">
        <f>IFERROR(VLOOKUP(October[[#This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21" t="str">
        <f>IFERROR(VLOOKUP(October[[#This Row],[Drug Name7]],'Data Options'!$R$1:$S$100,2,FALSE), " ")</f>
        <v xml:space="preserve"> </v>
      </c>
      <c r="AZ132" s="32"/>
      <c r="BA132" s="32"/>
      <c r="BB132" s="53"/>
      <c r="BC132" s="21" t="str">
        <f>IFERROR(VLOOKUP(October[[#This Row],[Drug Name8]],'Data Options'!$R$1:$S$100,2,FALSE), " ")</f>
        <v xml:space="preserve"> </v>
      </c>
      <c r="BD132" s="32"/>
      <c r="BE132" s="32"/>
      <c r="BF132" s="53"/>
      <c r="BG132" s="21" t="str">
        <f>IFERROR(VLOOKUP(October[[#This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21" t="str">
        <f>IFERROR(VLOOKUP(October[[#This Row],[Drug Name]],'Data Options'!$R$1:$S$100,2,FALSE), " ")</f>
        <v xml:space="preserve"> </v>
      </c>
      <c r="R133" s="32"/>
      <c r="S133" s="32"/>
      <c r="T133" s="53"/>
      <c r="U133" s="21" t="str">
        <f>IFERROR(VLOOKUP(October[[#This Row],[Drug Name2]],'Data Options'!$R$1:$S$100,2,FALSE), " ")</f>
        <v xml:space="preserve"> </v>
      </c>
      <c r="V133" s="32"/>
      <c r="W133" s="32"/>
      <c r="X133" s="53"/>
      <c r="Y133" s="21" t="str">
        <f>IFERROR(VLOOKUP(October[[#This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21" t="str">
        <f>IFERROR(VLOOKUP(October[[#This Row],[Drug Name4]],'Data Options'!$R$1:$S$100,2,FALSE), " ")</f>
        <v xml:space="preserve"> </v>
      </c>
      <c r="AI133" s="32"/>
      <c r="AJ133" s="32"/>
      <c r="AK133" s="53"/>
      <c r="AL133" s="21" t="str">
        <f>IFERROR(VLOOKUP(October[[#This Row],[Drug Name5]],'Data Options'!$R$1:$S$100,2,FALSE), " ")</f>
        <v xml:space="preserve"> </v>
      </c>
      <c r="AM133" s="32"/>
      <c r="AN133" s="32"/>
      <c r="AO133" s="53"/>
      <c r="AP133" s="21" t="str">
        <f>IFERROR(VLOOKUP(October[[#This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21" t="str">
        <f>IFERROR(VLOOKUP(October[[#This Row],[Drug Name7]],'Data Options'!$R$1:$S$100,2,FALSE), " ")</f>
        <v xml:space="preserve"> </v>
      </c>
      <c r="AZ133" s="32"/>
      <c r="BA133" s="32"/>
      <c r="BB133" s="53"/>
      <c r="BC133" s="21" t="str">
        <f>IFERROR(VLOOKUP(October[[#This Row],[Drug Name8]],'Data Options'!$R$1:$S$100,2,FALSE), " ")</f>
        <v xml:space="preserve"> </v>
      </c>
      <c r="BD133" s="32"/>
      <c r="BE133" s="32"/>
      <c r="BF133" s="53"/>
      <c r="BG133" s="21" t="str">
        <f>IFERROR(VLOOKUP(October[[#This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21" t="str">
        <f>IFERROR(VLOOKUP(October[[#This Row],[Drug Name]],'Data Options'!$R$1:$S$100,2,FALSE), " ")</f>
        <v xml:space="preserve"> </v>
      </c>
      <c r="R134" s="32"/>
      <c r="S134" s="32"/>
      <c r="T134" s="53"/>
      <c r="U134" s="21" t="str">
        <f>IFERROR(VLOOKUP(October[[#This Row],[Drug Name2]],'Data Options'!$R$1:$S$100,2,FALSE), " ")</f>
        <v xml:space="preserve"> </v>
      </c>
      <c r="V134" s="32"/>
      <c r="W134" s="32"/>
      <c r="X134" s="53"/>
      <c r="Y134" s="21" t="str">
        <f>IFERROR(VLOOKUP(October[[#This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21" t="str">
        <f>IFERROR(VLOOKUP(October[[#This Row],[Drug Name4]],'Data Options'!$R$1:$S$100,2,FALSE), " ")</f>
        <v xml:space="preserve"> </v>
      </c>
      <c r="AI134" s="32"/>
      <c r="AJ134" s="32"/>
      <c r="AK134" s="53"/>
      <c r="AL134" s="21" t="str">
        <f>IFERROR(VLOOKUP(October[[#This Row],[Drug Name5]],'Data Options'!$R$1:$S$100,2,FALSE), " ")</f>
        <v xml:space="preserve"> </v>
      </c>
      <c r="AM134" s="32"/>
      <c r="AN134" s="32"/>
      <c r="AO134" s="53"/>
      <c r="AP134" s="21" t="str">
        <f>IFERROR(VLOOKUP(October[[#This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21" t="str">
        <f>IFERROR(VLOOKUP(October[[#This Row],[Drug Name7]],'Data Options'!$R$1:$S$100,2,FALSE), " ")</f>
        <v xml:space="preserve"> </v>
      </c>
      <c r="AZ134" s="32"/>
      <c r="BA134" s="32"/>
      <c r="BB134" s="53"/>
      <c r="BC134" s="21" t="str">
        <f>IFERROR(VLOOKUP(October[[#This Row],[Drug Name8]],'Data Options'!$R$1:$S$100,2,FALSE), " ")</f>
        <v xml:space="preserve"> </v>
      </c>
      <c r="BD134" s="32"/>
      <c r="BE134" s="32"/>
      <c r="BF134" s="53"/>
      <c r="BG134" s="21" t="str">
        <f>IFERROR(VLOOKUP(October[[#This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21" t="str">
        <f>IFERROR(VLOOKUP(October[[#This Row],[Drug Name]],'Data Options'!$R$1:$S$100,2,FALSE), " ")</f>
        <v xml:space="preserve"> </v>
      </c>
      <c r="R135" s="32"/>
      <c r="S135" s="32"/>
      <c r="T135" s="53"/>
      <c r="U135" s="21" t="str">
        <f>IFERROR(VLOOKUP(October[[#This Row],[Drug Name2]],'Data Options'!$R$1:$S$100,2,FALSE), " ")</f>
        <v xml:space="preserve"> </v>
      </c>
      <c r="V135" s="32"/>
      <c r="W135" s="32"/>
      <c r="X135" s="53"/>
      <c r="Y135" s="21" t="str">
        <f>IFERROR(VLOOKUP(October[[#This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21" t="str">
        <f>IFERROR(VLOOKUP(October[[#This Row],[Drug Name4]],'Data Options'!$R$1:$S$100,2,FALSE), " ")</f>
        <v xml:space="preserve"> </v>
      </c>
      <c r="AI135" s="32"/>
      <c r="AJ135" s="32"/>
      <c r="AK135" s="53"/>
      <c r="AL135" s="21" t="str">
        <f>IFERROR(VLOOKUP(October[[#This Row],[Drug Name5]],'Data Options'!$R$1:$S$100,2,FALSE), " ")</f>
        <v xml:space="preserve"> </v>
      </c>
      <c r="AM135" s="32"/>
      <c r="AN135" s="32"/>
      <c r="AO135" s="53"/>
      <c r="AP135" s="21" t="str">
        <f>IFERROR(VLOOKUP(October[[#This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21" t="str">
        <f>IFERROR(VLOOKUP(October[[#This Row],[Drug Name7]],'Data Options'!$R$1:$S$100,2,FALSE), " ")</f>
        <v xml:space="preserve"> </v>
      </c>
      <c r="AZ135" s="32"/>
      <c r="BA135" s="32"/>
      <c r="BB135" s="53"/>
      <c r="BC135" s="21" t="str">
        <f>IFERROR(VLOOKUP(October[[#This Row],[Drug Name8]],'Data Options'!$R$1:$S$100,2,FALSE), " ")</f>
        <v xml:space="preserve"> </v>
      </c>
      <c r="BD135" s="32"/>
      <c r="BE135" s="32"/>
      <c r="BF135" s="53"/>
      <c r="BG135" s="21" t="str">
        <f>IFERROR(VLOOKUP(October[[#This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21" t="str">
        <f>IFERROR(VLOOKUP(October[[#This Row],[Drug Name]],'Data Options'!$R$1:$S$100,2,FALSE), " ")</f>
        <v xml:space="preserve"> </v>
      </c>
      <c r="R136" s="32"/>
      <c r="S136" s="32"/>
      <c r="T136" s="53"/>
      <c r="U136" s="21" t="str">
        <f>IFERROR(VLOOKUP(October[[#This Row],[Drug Name2]],'Data Options'!$R$1:$S$100,2,FALSE), " ")</f>
        <v xml:space="preserve"> </v>
      </c>
      <c r="V136" s="32"/>
      <c r="W136" s="32"/>
      <c r="X136" s="53"/>
      <c r="Y136" s="21" t="str">
        <f>IFERROR(VLOOKUP(October[[#This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21" t="str">
        <f>IFERROR(VLOOKUP(October[[#This Row],[Drug Name4]],'Data Options'!$R$1:$S$100,2,FALSE), " ")</f>
        <v xml:space="preserve"> </v>
      </c>
      <c r="AI136" s="32"/>
      <c r="AJ136" s="32"/>
      <c r="AK136" s="53"/>
      <c r="AL136" s="21" t="str">
        <f>IFERROR(VLOOKUP(October[[#This Row],[Drug Name5]],'Data Options'!$R$1:$S$100,2,FALSE), " ")</f>
        <v xml:space="preserve"> </v>
      </c>
      <c r="AM136" s="32"/>
      <c r="AN136" s="32"/>
      <c r="AO136" s="53"/>
      <c r="AP136" s="21" t="str">
        <f>IFERROR(VLOOKUP(October[[#This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21" t="str">
        <f>IFERROR(VLOOKUP(October[[#This Row],[Drug Name7]],'Data Options'!$R$1:$S$100,2,FALSE), " ")</f>
        <v xml:space="preserve"> </v>
      </c>
      <c r="AZ136" s="32"/>
      <c r="BA136" s="32"/>
      <c r="BB136" s="53"/>
      <c r="BC136" s="21" t="str">
        <f>IFERROR(VLOOKUP(October[[#This Row],[Drug Name8]],'Data Options'!$R$1:$S$100,2,FALSE), " ")</f>
        <v xml:space="preserve"> </v>
      </c>
      <c r="BD136" s="32"/>
      <c r="BE136" s="32"/>
      <c r="BF136" s="53"/>
      <c r="BG136" s="21" t="str">
        <f>IFERROR(VLOOKUP(October[[#This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21" t="str">
        <f>IFERROR(VLOOKUP(October[[#This Row],[Drug Name]],'Data Options'!$R$1:$S$100,2,FALSE), " ")</f>
        <v xml:space="preserve"> </v>
      </c>
      <c r="R137" s="32"/>
      <c r="S137" s="32"/>
      <c r="T137" s="53"/>
      <c r="U137" s="21" t="str">
        <f>IFERROR(VLOOKUP(October[[#This Row],[Drug Name2]],'Data Options'!$R$1:$S$100,2,FALSE), " ")</f>
        <v xml:space="preserve"> </v>
      </c>
      <c r="V137" s="32"/>
      <c r="W137" s="32"/>
      <c r="X137" s="53"/>
      <c r="Y137" s="21" t="str">
        <f>IFERROR(VLOOKUP(October[[#This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21" t="str">
        <f>IFERROR(VLOOKUP(October[[#This Row],[Drug Name4]],'Data Options'!$R$1:$S$100,2,FALSE), " ")</f>
        <v xml:space="preserve"> </v>
      </c>
      <c r="AI137" s="32"/>
      <c r="AJ137" s="32"/>
      <c r="AK137" s="53"/>
      <c r="AL137" s="21" t="str">
        <f>IFERROR(VLOOKUP(October[[#This Row],[Drug Name5]],'Data Options'!$R$1:$S$100,2,FALSE), " ")</f>
        <v xml:space="preserve"> </v>
      </c>
      <c r="AM137" s="32"/>
      <c r="AN137" s="32"/>
      <c r="AO137" s="53"/>
      <c r="AP137" s="21" t="str">
        <f>IFERROR(VLOOKUP(October[[#This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21" t="str">
        <f>IFERROR(VLOOKUP(October[[#This Row],[Drug Name7]],'Data Options'!$R$1:$S$100,2,FALSE), " ")</f>
        <v xml:space="preserve"> </v>
      </c>
      <c r="AZ137" s="32"/>
      <c r="BA137" s="32"/>
      <c r="BB137" s="53"/>
      <c r="BC137" s="21" t="str">
        <f>IFERROR(VLOOKUP(October[[#This Row],[Drug Name8]],'Data Options'!$R$1:$S$100,2,FALSE), " ")</f>
        <v xml:space="preserve"> </v>
      </c>
      <c r="BD137" s="32"/>
      <c r="BE137" s="32"/>
      <c r="BF137" s="53"/>
      <c r="BG137" s="21" t="str">
        <f>IFERROR(VLOOKUP(October[[#This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21" t="str">
        <f>IFERROR(VLOOKUP(October[[#This Row],[Drug Name]],'Data Options'!$R$1:$S$100,2,FALSE), " ")</f>
        <v xml:space="preserve"> </v>
      </c>
      <c r="R138" s="32"/>
      <c r="S138" s="32"/>
      <c r="T138" s="53"/>
      <c r="U138" s="21" t="str">
        <f>IFERROR(VLOOKUP(October[[#This Row],[Drug Name2]],'Data Options'!$R$1:$S$100,2,FALSE), " ")</f>
        <v xml:space="preserve"> </v>
      </c>
      <c r="V138" s="32"/>
      <c r="W138" s="32"/>
      <c r="X138" s="53"/>
      <c r="Y138" s="21" t="str">
        <f>IFERROR(VLOOKUP(October[[#This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21" t="str">
        <f>IFERROR(VLOOKUP(October[[#This Row],[Drug Name4]],'Data Options'!$R$1:$S$100,2,FALSE), " ")</f>
        <v xml:space="preserve"> </v>
      </c>
      <c r="AI138" s="32"/>
      <c r="AJ138" s="32"/>
      <c r="AK138" s="53"/>
      <c r="AL138" s="21" t="str">
        <f>IFERROR(VLOOKUP(October[[#This Row],[Drug Name5]],'Data Options'!$R$1:$S$100,2,FALSE), " ")</f>
        <v xml:space="preserve"> </v>
      </c>
      <c r="AM138" s="32"/>
      <c r="AN138" s="32"/>
      <c r="AO138" s="53"/>
      <c r="AP138" s="21" t="str">
        <f>IFERROR(VLOOKUP(October[[#This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21" t="str">
        <f>IFERROR(VLOOKUP(October[[#This Row],[Drug Name7]],'Data Options'!$R$1:$S$100,2,FALSE), " ")</f>
        <v xml:space="preserve"> </v>
      </c>
      <c r="AZ138" s="32"/>
      <c r="BA138" s="32"/>
      <c r="BB138" s="53"/>
      <c r="BC138" s="21" t="str">
        <f>IFERROR(VLOOKUP(October[[#This Row],[Drug Name8]],'Data Options'!$R$1:$S$100,2,FALSE), " ")</f>
        <v xml:space="preserve"> </v>
      </c>
      <c r="BD138" s="32"/>
      <c r="BE138" s="32"/>
      <c r="BF138" s="53"/>
      <c r="BG138" s="21" t="str">
        <f>IFERROR(VLOOKUP(October[[#This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21" t="str">
        <f>IFERROR(VLOOKUP(October[[#This Row],[Drug Name]],'Data Options'!$R$1:$S$100,2,FALSE), " ")</f>
        <v xml:space="preserve"> </v>
      </c>
      <c r="R139" s="32"/>
      <c r="S139" s="32"/>
      <c r="T139" s="53"/>
      <c r="U139" s="21" t="str">
        <f>IFERROR(VLOOKUP(October[[#This Row],[Drug Name2]],'Data Options'!$R$1:$S$100,2,FALSE), " ")</f>
        <v xml:space="preserve"> </v>
      </c>
      <c r="V139" s="32"/>
      <c r="W139" s="32"/>
      <c r="X139" s="53"/>
      <c r="Y139" s="21" t="str">
        <f>IFERROR(VLOOKUP(October[[#This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21" t="str">
        <f>IFERROR(VLOOKUP(October[[#This Row],[Drug Name4]],'Data Options'!$R$1:$S$100,2,FALSE), " ")</f>
        <v xml:space="preserve"> </v>
      </c>
      <c r="AI139" s="32"/>
      <c r="AJ139" s="32"/>
      <c r="AK139" s="53"/>
      <c r="AL139" s="21" t="str">
        <f>IFERROR(VLOOKUP(October[[#This Row],[Drug Name5]],'Data Options'!$R$1:$S$100,2,FALSE), " ")</f>
        <v xml:space="preserve"> </v>
      </c>
      <c r="AM139" s="32"/>
      <c r="AN139" s="32"/>
      <c r="AO139" s="53"/>
      <c r="AP139" s="21" t="str">
        <f>IFERROR(VLOOKUP(October[[#This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21" t="str">
        <f>IFERROR(VLOOKUP(October[[#This Row],[Drug Name7]],'Data Options'!$R$1:$S$100,2,FALSE), " ")</f>
        <v xml:space="preserve"> </v>
      </c>
      <c r="AZ139" s="32"/>
      <c r="BA139" s="32"/>
      <c r="BB139" s="53"/>
      <c r="BC139" s="21" t="str">
        <f>IFERROR(VLOOKUP(October[[#This Row],[Drug Name8]],'Data Options'!$R$1:$S$100,2,FALSE), " ")</f>
        <v xml:space="preserve"> </v>
      </c>
      <c r="BD139" s="32"/>
      <c r="BE139" s="32"/>
      <c r="BF139" s="53"/>
      <c r="BG139" s="21" t="str">
        <f>IFERROR(VLOOKUP(October[[#This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21" t="str">
        <f>IFERROR(VLOOKUP(October[[#This Row],[Drug Name]],'Data Options'!$R$1:$S$100,2,FALSE), " ")</f>
        <v xml:space="preserve"> </v>
      </c>
      <c r="R140" s="32"/>
      <c r="S140" s="32"/>
      <c r="T140" s="53"/>
      <c r="U140" s="21" t="str">
        <f>IFERROR(VLOOKUP(October[[#This Row],[Drug Name2]],'Data Options'!$R$1:$S$100,2,FALSE), " ")</f>
        <v xml:space="preserve"> </v>
      </c>
      <c r="V140" s="32"/>
      <c r="W140" s="32"/>
      <c r="X140" s="53"/>
      <c r="Y140" s="21" t="str">
        <f>IFERROR(VLOOKUP(October[[#This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21" t="str">
        <f>IFERROR(VLOOKUP(October[[#This Row],[Drug Name4]],'Data Options'!$R$1:$S$100,2,FALSE), " ")</f>
        <v xml:space="preserve"> </v>
      </c>
      <c r="AI140" s="32"/>
      <c r="AJ140" s="32"/>
      <c r="AK140" s="53"/>
      <c r="AL140" s="21" t="str">
        <f>IFERROR(VLOOKUP(October[[#This Row],[Drug Name5]],'Data Options'!$R$1:$S$100,2,FALSE), " ")</f>
        <v xml:space="preserve"> </v>
      </c>
      <c r="AM140" s="32"/>
      <c r="AN140" s="32"/>
      <c r="AO140" s="53"/>
      <c r="AP140" s="21" t="str">
        <f>IFERROR(VLOOKUP(October[[#This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21" t="str">
        <f>IFERROR(VLOOKUP(October[[#This Row],[Drug Name7]],'Data Options'!$R$1:$S$100,2,FALSE), " ")</f>
        <v xml:space="preserve"> </v>
      </c>
      <c r="AZ140" s="32"/>
      <c r="BA140" s="32"/>
      <c r="BB140" s="53"/>
      <c r="BC140" s="21" t="str">
        <f>IFERROR(VLOOKUP(October[[#This Row],[Drug Name8]],'Data Options'!$R$1:$S$100,2,FALSE), " ")</f>
        <v xml:space="preserve"> </v>
      </c>
      <c r="BD140" s="32"/>
      <c r="BE140" s="32"/>
      <c r="BF140" s="53"/>
      <c r="BG140" s="21" t="str">
        <f>IFERROR(VLOOKUP(October[[#This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21" t="str">
        <f>IFERROR(VLOOKUP(October[[#This Row],[Drug Name]],'Data Options'!$R$1:$S$100,2,FALSE), " ")</f>
        <v xml:space="preserve"> </v>
      </c>
      <c r="R141" s="32"/>
      <c r="S141" s="32"/>
      <c r="T141" s="53"/>
      <c r="U141" s="21" t="str">
        <f>IFERROR(VLOOKUP(October[[#This Row],[Drug Name2]],'Data Options'!$R$1:$S$100,2,FALSE), " ")</f>
        <v xml:space="preserve"> </v>
      </c>
      <c r="V141" s="32"/>
      <c r="W141" s="32"/>
      <c r="X141" s="53"/>
      <c r="Y141" s="21" t="str">
        <f>IFERROR(VLOOKUP(October[[#This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21" t="str">
        <f>IFERROR(VLOOKUP(October[[#This Row],[Drug Name4]],'Data Options'!$R$1:$S$100,2,FALSE), " ")</f>
        <v xml:space="preserve"> </v>
      </c>
      <c r="AI141" s="32"/>
      <c r="AJ141" s="32"/>
      <c r="AK141" s="53"/>
      <c r="AL141" s="21" t="str">
        <f>IFERROR(VLOOKUP(October[[#This Row],[Drug Name5]],'Data Options'!$R$1:$S$100,2,FALSE), " ")</f>
        <v xml:space="preserve"> </v>
      </c>
      <c r="AM141" s="32"/>
      <c r="AN141" s="32"/>
      <c r="AO141" s="53"/>
      <c r="AP141" s="21" t="str">
        <f>IFERROR(VLOOKUP(October[[#This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21" t="str">
        <f>IFERROR(VLOOKUP(October[[#This Row],[Drug Name7]],'Data Options'!$R$1:$S$100,2,FALSE), " ")</f>
        <v xml:space="preserve"> </v>
      </c>
      <c r="AZ141" s="32"/>
      <c r="BA141" s="32"/>
      <c r="BB141" s="53"/>
      <c r="BC141" s="21" t="str">
        <f>IFERROR(VLOOKUP(October[[#This Row],[Drug Name8]],'Data Options'!$R$1:$S$100,2,FALSE), " ")</f>
        <v xml:space="preserve"> </v>
      </c>
      <c r="BD141" s="32"/>
      <c r="BE141" s="32"/>
      <c r="BF141" s="53"/>
      <c r="BG141" s="21" t="str">
        <f>IFERROR(VLOOKUP(October[[#This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21" t="str">
        <f>IFERROR(VLOOKUP(October[[#This Row],[Drug Name]],'Data Options'!$R$1:$S$100,2,FALSE), " ")</f>
        <v xml:space="preserve"> </v>
      </c>
      <c r="R142" s="32"/>
      <c r="S142" s="32"/>
      <c r="T142" s="53"/>
      <c r="U142" s="21" t="str">
        <f>IFERROR(VLOOKUP(October[[#This Row],[Drug Name2]],'Data Options'!$R$1:$S$100,2,FALSE), " ")</f>
        <v xml:space="preserve"> </v>
      </c>
      <c r="V142" s="32"/>
      <c r="W142" s="32"/>
      <c r="X142" s="53"/>
      <c r="Y142" s="21" t="str">
        <f>IFERROR(VLOOKUP(October[[#This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21" t="str">
        <f>IFERROR(VLOOKUP(October[[#This Row],[Drug Name4]],'Data Options'!$R$1:$S$100,2,FALSE), " ")</f>
        <v xml:space="preserve"> </v>
      </c>
      <c r="AI142" s="32"/>
      <c r="AJ142" s="32"/>
      <c r="AK142" s="53"/>
      <c r="AL142" s="21" t="str">
        <f>IFERROR(VLOOKUP(October[[#This Row],[Drug Name5]],'Data Options'!$R$1:$S$100,2,FALSE), " ")</f>
        <v xml:space="preserve"> </v>
      </c>
      <c r="AM142" s="32"/>
      <c r="AN142" s="32"/>
      <c r="AO142" s="53"/>
      <c r="AP142" s="21" t="str">
        <f>IFERROR(VLOOKUP(October[[#This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21" t="str">
        <f>IFERROR(VLOOKUP(October[[#This Row],[Drug Name7]],'Data Options'!$R$1:$S$100,2,FALSE), " ")</f>
        <v xml:space="preserve"> </v>
      </c>
      <c r="AZ142" s="32"/>
      <c r="BA142" s="32"/>
      <c r="BB142" s="53"/>
      <c r="BC142" s="21" t="str">
        <f>IFERROR(VLOOKUP(October[[#This Row],[Drug Name8]],'Data Options'!$R$1:$S$100,2,FALSE), " ")</f>
        <v xml:space="preserve"> </v>
      </c>
      <c r="BD142" s="32"/>
      <c r="BE142" s="32"/>
      <c r="BF142" s="53"/>
      <c r="BG142" s="21" t="str">
        <f>IFERROR(VLOOKUP(October[[#This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21" t="str">
        <f>IFERROR(VLOOKUP(October[[#This Row],[Drug Name]],'Data Options'!$R$1:$S$100,2,FALSE), " ")</f>
        <v xml:space="preserve"> </v>
      </c>
      <c r="R143" s="32"/>
      <c r="S143" s="32"/>
      <c r="T143" s="53"/>
      <c r="U143" s="21" t="str">
        <f>IFERROR(VLOOKUP(October[[#This Row],[Drug Name2]],'Data Options'!$R$1:$S$100,2,FALSE), " ")</f>
        <v xml:space="preserve"> </v>
      </c>
      <c r="V143" s="32"/>
      <c r="W143" s="32"/>
      <c r="X143" s="53"/>
      <c r="Y143" s="21" t="str">
        <f>IFERROR(VLOOKUP(October[[#This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21" t="str">
        <f>IFERROR(VLOOKUP(October[[#This Row],[Drug Name4]],'Data Options'!$R$1:$S$100,2,FALSE), " ")</f>
        <v xml:space="preserve"> </v>
      </c>
      <c r="AI143" s="32"/>
      <c r="AJ143" s="32"/>
      <c r="AK143" s="53"/>
      <c r="AL143" s="21" t="str">
        <f>IFERROR(VLOOKUP(October[[#This Row],[Drug Name5]],'Data Options'!$R$1:$S$100,2,FALSE), " ")</f>
        <v xml:space="preserve"> </v>
      </c>
      <c r="AM143" s="32"/>
      <c r="AN143" s="32"/>
      <c r="AO143" s="53"/>
      <c r="AP143" s="21" t="str">
        <f>IFERROR(VLOOKUP(October[[#This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21" t="str">
        <f>IFERROR(VLOOKUP(October[[#This Row],[Drug Name7]],'Data Options'!$R$1:$S$100,2,FALSE), " ")</f>
        <v xml:space="preserve"> </v>
      </c>
      <c r="AZ143" s="32"/>
      <c r="BA143" s="32"/>
      <c r="BB143" s="53"/>
      <c r="BC143" s="21" t="str">
        <f>IFERROR(VLOOKUP(October[[#This Row],[Drug Name8]],'Data Options'!$R$1:$S$100,2,FALSE), " ")</f>
        <v xml:space="preserve"> </v>
      </c>
      <c r="BD143" s="32"/>
      <c r="BE143" s="32"/>
      <c r="BF143" s="53"/>
      <c r="BG143" s="21" t="str">
        <f>IFERROR(VLOOKUP(October[[#This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21" t="str">
        <f>IFERROR(VLOOKUP(October[[#This Row],[Drug Name]],'Data Options'!$R$1:$S$100,2,FALSE), " ")</f>
        <v xml:space="preserve"> </v>
      </c>
      <c r="R144" s="32"/>
      <c r="S144" s="32"/>
      <c r="T144" s="53"/>
      <c r="U144" s="21" t="str">
        <f>IFERROR(VLOOKUP(October[[#This Row],[Drug Name2]],'Data Options'!$R$1:$S$100,2,FALSE), " ")</f>
        <v xml:space="preserve"> </v>
      </c>
      <c r="V144" s="32"/>
      <c r="W144" s="32"/>
      <c r="X144" s="53"/>
      <c r="Y144" s="21" t="str">
        <f>IFERROR(VLOOKUP(October[[#This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21" t="str">
        <f>IFERROR(VLOOKUP(October[[#This Row],[Drug Name4]],'Data Options'!$R$1:$S$100,2,FALSE), " ")</f>
        <v xml:space="preserve"> </v>
      </c>
      <c r="AI144" s="32"/>
      <c r="AJ144" s="32"/>
      <c r="AK144" s="53"/>
      <c r="AL144" s="21" t="str">
        <f>IFERROR(VLOOKUP(October[[#This Row],[Drug Name5]],'Data Options'!$R$1:$S$100,2,FALSE), " ")</f>
        <v xml:space="preserve"> </v>
      </c>
      <c r="AM144" s="32"/>
      <c r="AN144" s="32"/>
      <c r="AO144" s="53"/>
      <c r="AP144" s="21" t="str">
        <f>IFERROR(VLOOKUP(October[[#This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21" t="str">
        <f>IFERROR(VLOOKUP(October[[#This Row],[Drug Name7]],'Data Options'!$R$1:$S$100,2,FALSE), " ")</f>
        <v xml:space="preserve"> </v>
      </c>
      <c r="AZ144" s="32"/>
      <c r="BA144" s="32"/>
      <c r="BB144" s="53"/>
      <c r="BC144" s="21" t="str">
        <f>IFERROR(VLOOKUP(October[[#This Row],[Drug Name8]],'Data Options'!$R$1:$S$100,2,FALSE), " ")</f>
        <v xml:space="preserve"> </v>
      </c>
      <c r="BD144" s="32"/>
      <c r="BE144" s="32"/>
      <c r="BF144" s="53"/>
      <c r="BG144" s="21" t="str">
        <f>IFERROR(VLOOKUP(October[[#This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21" t="str">
        <f>IFERROR(VLOOKUP(October[[#This Row],[Drug Name]],'Data Options'!$R$1:$S$100,2,FALSE), " ")</f>
        <v xml:space="preserve"> </v>
      </c>
      <c r="R145" s="32"/>
      <c r="S145" s="32"/>
      <c r="T145" s="53"/>
      <c r="U145" s="21" t="str">
        <f>IFERROR(VLOOKUP(October[[#This Row],[Drug Name2]],'Data Options'!$R$1:$S$100,2,FALSE), " ")</f>
        <v xml:space="preserve"> </v>
      </c>
      <c r="V145" s="32"/>
      <c r="W145" s="32"/>
      <c r="X145" s="53"/>
      <c r="Y145" s="21" t="str">
        <f>IFERROR(VLOOKUP(October[[#This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21" t="str">
        <f>IFERROR(VLOOKUP(October[[#This Row],[Drug Name4]],'Data Options'!$R$1:$S$100,2,FALSE), " ")</f>
        <v xml:space="preserve"> </v>
      </c>
      <c r="AI145" s="32"/>
      <c r="AJ145" s="32"/>
      <c r="AK145" s="53"/>
      <c r="AL145" s="21" t="str">
        <f>IFERROR(VLOOKUP(October[[#This Row],[Drug Name5]],'Data Options'!$R$1:$S$100,2,FALSE), " ")</f>
        <v xml:space="preserve"> </v>
      </c>
      <c r="AM145" s="32"/>
      <c r="AN145" s="32"/>
      <c r="AO145" s="53"/>
      <c r="AP145" s="21" t="str">
        <f>IFERROR(VLOOKUP(October[[#This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21" t="str">
        <f>IFERROR(VLOOKUP(October[[#This Row],[Drug Name7]],'Data Options'!$R$1:$S$100,2,FALSE), " ")</f>
        <v xml:space="preserve"> </v>
      </c>
      <c r="AZ145" s="32"/>
      <c r="BA145" s="32"/>
      <c r="BB145" s="53"/>
      <c r="BC145" s="21" t="str">
        <f>IFERROR(VLOOKUP(October[[#This Row],[Drug Name8]],'Data Options'!$R$1:$S$100,2,FALSE), " ")</f>
        <v xml:space="preserve"> </v>
      </c>
      <c r="BD145" s="32"/>
      <c r="BE145" s="32"/>
      <c r="BF145" s="53"/>
      <c r="BG145" s="21" t="str">
        <f>IFERROR(VLOOKUP(October[[#This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21" t="str">
        <f>IFERROR(VLOOKUP(October[[#This Row],[Drug Name]],'Data Options'!$R$1:$S$100,2,FALSE), " ")</f>
        <v xml:space="preserve"> </v>
      </c>
      <c r="R146" s="32"/>
      <c r="S146" s="32"/>
      <c r="T146" s="53"/>
      <c r="U146" s="21" t="str">
        <f>IFERROR(VLOOKUP(October[[#This Row],[Drug Name2]],'Data Options'!$R$1:$S$100,2,FALSE), " ")</f>
        <v xml:space="preserve"> </v>
      </c>
      <c r="V146" s="32"/>
      <c r="W146" s="32"/>
      <c r="X146" s="53"/>
      <c r="Y146" s="21" t="str">
        <f>IFERROR(VLOOKUP(October[[#This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21" t="str">
        <f>IFERROR(VLOOKUP(October[[#This Row],[Drug Name4]],'Data Options'!$R$1:$S$100,2,FALSE), " ")</f>
        <v xml:space="preserve"> </v>
      </c>
      <c r="AI146" s="32"/>
      <c r="AJ146" s="32"/>
      <c r="AK146" s="53"/>
      <c r="AL146" s="21" t="str">
        <f>IFERROR(VLOOKUP(October[[#This Row],[Drug Name5]],'Data Options'!$R$1:$S$100,2,FALSE), " ")</f>
        <v xml:space="preserve"> </v>
      </c>
      <c r="AM146" s="32"/>
      <c r="AN146" s="32"/>
      <c r="AO146" s="53"/>
      <c r="AP146" s="21" t="str">
        <f>IFERROR(VLOOKUP(October[[#This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21" t="str">
        <f>IFERROR(VLOOKUP(October[[#This Row],[Drug Name7]],'Data Options'!$R$1:$S$100,2,FALSE), " ")</f>
        <v xml:space="preserve"> </v>
      </c>
      <c r="AZ146" s="32"/>
      <c r="BA146" s="32"/>
      <c r="BB146" s="53"/>
      <c r="BC146" s="21" t="str">
        <f>IFERROR(VLOOKUP(October[[#This Row],[Drug Name8]],'Data Options'!$R$1:$S$100,2,FALSE), " ")</f>
        <v xml:space="preserve"> </v>
      </c>
      <c r="BD146" s="32"/>
      <c r="BE146" s="32"/>
      <c r="BF146" s="53"/>
      <c r="BG146" s="21" t="str">
        <f>IFERROR(VLOOKUP(October[[#This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21" t="str">
        <f>IFERROR(VLOOKUP(October[[#This Row],[Drug Name]],'Data Options'!$R$1:$S$100,2,FALSE), " ")</f>
        <v xml:space="preserve"> </v>
      </c>
      <c r="R147" s="32"/>
      <c r="S147" s="32"/>
      <c r="T147" s="53"/>
      <c r="U147" s="21" t="str">
        <f>IFERROR(VLOOKUP(October[[#This Row],[Drug Name2]],'Data Options'!$R$1:$S$100,2,FALSE), " ")</f>
        <v xml:space="preserve"> </v>
      </c>
      <c r="V147" s="32"/>
      <c r="W147" s="32"/>
      <c r="X147" s="53"/>
      <c r="Y147" s="21" t="str">
        <f>IFERROR(VLOOKUP(October[[#This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21" t="str">
        <f>IFERROR(VLOOKUP(October[[#This Row],[Drug Name4]],'Data Options'!$R$1:$S$100,2,FALSE), " ")</f>
        <v xml:space="preserve"> </v>
      </c>
      <c r="AI147" s="32"/>
      <c r="AJ147" s="32"/>
      <c r="AK147" s="53"/>
      <c r="AL147" s="21" t="str">
        <f>IFERROR(VLOOKUP(October[[#This Row],[Drug Name5]],'Data Options'!$R$1:$S$100,2,FALSE), " ")</f>
        <v xml:space="preserve"> </v>
      </c>
      <c r="AM147" s="32"/>
      <c r="AN147" s="32"/>
      <c r="AO147" s="53"/>
      <c r="AP147" s="21" t="str">
        <f>IFERROR(VLOOKUP(October[[#This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21" t="str">
        <f>IFERROR(VLOOKUP(October[[#This Row],[Drug Name7]],'Data Options'!$R$1:$S$100,2,FALSE), " ")</f>
        <v xml:space="preserve"> </v>
      </c>
      <c r="AZ147" s="32"/>
      <c r="BA147" s="32"/>
      <c r="BB147" s="53"/>
      <c r="BC147" s="21" t="str">
        <f>IFERROR(VLOOKUP(October[[#This Row],[Drug Name8]],'Data Options'!$R$1:$S$100,2,FALSE), " ")</f>
        <v xml:space="preserve"> </v>
      </c>
      <c r="BD147" s="32"/>
      <c r="BE147" s="32"/>
      <c r="BF147" s="53"/>
      <c r="BG147" s="21" t="str">
        <f>IFERROR(VLOOKUP(October[[#This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21" t="str">
        <f>IFERROR(VLOOKUP(October[[#This Row],[Drug Name]],'Data Options'!$R$1:$S$100,2,FALSE), " ")</f>
        <v xml:space="preserve"> </v>
      </c>
      <c r="R148" s="32"/>
      <c r="S148" s="32"/>
      <c r="T148" s="53"/>
      <c r="U148" s="21" t="str">
        <f>IFERROR(VLOOKUP(October[[#This Row],[Drug Name2]],'Data Options'!$R$1:$S$100,2,FALSE), " ")</f>
        <v xml:space="preserve"> </v>
      </c>
      <c r="V148" s="32"/>
      <c r="W148" s="32"/>
      <c r="X148" s="53"/>
      <c r="Y148" s="21" t="str">
        <f>IFERROR(VLOOKUP(October[[#This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21" t="str">
        <f>IFERROR(VLOOKUP(October[[#This Row],[Drug Name4]],'Data Options'!$R$1:$S$100,2,FALSE), " ")</f>
        <v xml:space="preserve"> </v>
      </c>
      <c r="AI148" s="32"/>
      <c r="AJ148" s="32"/>
      <c r="AK148" s="53"/>
      <c r="AL148" s="21" t="str">
        <f>IFERROR(VLOOKUP(October[[#This Row],[Drug Name5]],'Data Options'!$R$1:$S$100,2,FALSE), " ")</f>
        <v xml:space="preserve"> </v>
      </c>
      <c r="AM148" s="32"/>
      <c r="AN148" s="32"/>
      <c r="AO148" s="53"/>
      <c r="AP148" s="21" t="str">
        <f>IFERROR(VLOOKUP(October[[#This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21" t="str">
        <f>IFERROR(VLOOKUP(October[[#This Row],[Drug Name7]],'Data Options'!$R$1:$S$100,2,FALSE), " ")</f>
        <v xml:space="preserve"> </v>
      </c>
      <c r="AZ148" s="32"/>
      <c r="BA148" s="32"/>
      <c r="BB148" s="53"/>
      <c r="BC148" s="21" t="str">
        <f>IFERROR(VLOOKUP(October[[#This Row],[Drug Name8]],'Data Options'!$R$1:$S$100,2,FALSE), " ")</f>
        <v xml:space="preserve"> </v>
      </c>
      <c r="BD148" s="32"/>
      <c r="BE148" s="32"/>
      <c r="BF148" s="53"/>
      <c r="BG148" s="21" t="str">
        <f>IFERROR(VLOOKUP(October[[#This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21" t="str">
        <f>IFERROR(VLOOKUP(October[[#This Row],[Drug Name]],'Data Options'!$R$1:$S$100,2,FALSE), " ")</f>
        <v xml:space="preserve"> </v>
      </c>
      <c r="R149" s="32"/>
      <c r="S149" s="32"/>
      <c r="T149" s="53"/>
      <c r="U149" s="21" t="str">
        <f>IFERROR(VLOOKUP(October[[#This Row],[Drug Name2]],'Data Options'!$R$1:$S$100,2,FALSE), " ")</f>
        <v xml:space="preserve"> </v>
      </c>
      <c r="V149" s="32"/>
      <c r="W149" s="32"/>
      <c r="X149" s="53"/>
      <c r="Y149" s="21" t="str">
        <f>IFERROR(VLOOKUP(October[[#This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21" t="str">
        <f>IFERROR(VLOOKUP(October[[#This Row],[Drug Name4]],'Data Options'!$R$1:$S$100,2,FALSE), " ")</f>
        <v xml:space="preserve"> </v>
      </c>
      <c r="AI149" s="32"/>
      <c r="AJ149" s="32"/>
      <c r="AK149" s="53"/>
      <c r="AL149" s="21" t="str">
        <f>IFERROR(VLOOKUP(October[[#This Row],[Drug Name5]],'Data Options'!$R$1:$S$100,2,FALSE), " ")</f>
        <v xml:space="preserve"> </v>
      </c>
      <c r="AM149" s="32"/>
      <c r="AN149" s="32"/>
      <c r="AO149" s="53"/>
      <c r="AP149" s="21" t="str">
        <f>IFERROR(VLOOKUP(October[[#This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21" t="str">
        <f>IFERROR(VLOOKUP(October[[#This Row],[Drug Name7]],'Data Options'!$R$1:$S$100,2,FALSE), " ")</f>
        <v xml:space="preserve"> </v>
      </c>
      <c r="AZ149" s="32"/>
      <c r="BA149" s="32"/>
      <c r="BB149" s="53"/>
      <c r="BC149" s="21" t="str">
        <f>IFERROR(VLOOKUP(October[[#This Row],[Drug Name8]],'Data Options'!$R$1:$S$100,2,FALSE), " ")</f>
        <v xml:space="preserve"> </v>
      </c>
      <c r="BD149" s="32"/>
      <c r="BE149" s="32"/>
      <c r="BF149" s="53"/>
      <c r="BG149" s="21" t="str">
        <f>IFERROR(VLOOKUP(October[[#This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21" t="str">
        <f>IFERROR(VLOOKUP(October[[#This Row],[Drug Name]],'Data Options'!$R$1:$S$100,2,FALSE), " ")</f>
        <v xml:space="preserve"> </v>
      </c>
      <c r="R150" s="32"/>
      <c r="S150" s="32"/>
      <c r="T150" s="53"/>
      <c r="U150" s="21" t="str">
        <f>IFERROR(VLOOKUP(October[[#This Row],[Drug Name2]],'Data Options'!$R$1:$S$100,2,FALSE), " ")</f>
        <v xml:space="preserve"> </v>
      </c>
      <c r="V150" s="32"/>
      <c r="W150" s="32"/>
      <c r="X150" s="53"/>
      <c r="Y150" s="21" t="str">
        <f>IFERROR(VLOOKUP(October[[#This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21" t="str">
        <f>IFERROR(VLOOKUP(October[[#This Row],[Drug Name4]],'Data Options'!$R$1:$S$100,2,FALSE), " ")</f>
        <v xml:space="preserve"> </v>
      </c>
      <c r="AI150" s="32"/>
      <c r="AJ150" s="32"/>
      <c r="AK150" s="53"/>
      <c r="AL150" s="21" t="str">
        <f>IFERROR(VLOOKUP(October[[#This Row],[Drug Name5]],'Data Options'!$R$1:$S$100,2,FALSE), " ")</f>
        <v xml:space="preserve"> </v>
      </c>
      <c r="AM150" s="32"/>
      <c r="AN150" s="32"/>
      <c r="AO150" s="53"/>
      <c r="AP150" s="21" t="str">
        <f>IFERROR(VLOOKUP(October[[#This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21" t="str">
        <f>IFERROR(VLOOKUP(October[[#This Row],[Drug Name7]],'Data Options'!$R$1:$S$100,2,FALSE), " ")</f>
        <v xml:space="preserve"> </v>
      </c>
      <c r="AZ150" s="32"/>
      <c r="BA150" s="32"/>
      <c r="BB150" s="53"/>
      <c r="BC150" s="21" t="str">
        <f>IFERROR(VLOOKUP(October[[#This Row],[Drug Name8]],'Data Options'!$R$1:$S$100,2,FALSE), " ")</f>
        <v xml:space="preserve"> </v>
      </c>
      <c r="BD150" s="32"/>
      <c r="BE150" s="32"/>
      <c r="BF150" s="53"/>
      <c r="BG150" s="21" t="str">
        <f>IFERROR(VLOOKUP(October[[#This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21" t="str">
        <f>IFERROR(VLOOKUP(October[[#This Row],[Drug Name]],'Data Options'!$R$1:$S$100,2,FALSE), " ")</f>
        <v xml:space="preserve"> </v>
      </c>
      <c r="R151" s="32"/>
      <c r="S151" s="32"/>
      <c r="T151" s="53"/>
      <c r="U151" s="21" t="str">
        <f>IFERROR(VLOOKUP(October[[#This Row],[Drug Name2]],'Data Options'!$R$1:$S$100,2,FALSE), " ")</f>
        <v xml:space="preserve"> </v>
      </c>
      <c r="V151" s="32"/>
      <c r="W151" s="32"/>
      <c r="X151" s="53"/>
      <c r="Y151" s="21" t="str">
        <f>IFERROR(VLOOKUP(October[[#This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21" t="str">
        <f>IFERROR(VLOOKUP(October[[#This Row],[Drug Name4]],'Data Options'!$R$1:$S$100,2,FALSE), " ")</f>
        <v xml:space="preserve"> </v>
      </c>
      <c r="AI151" s="32"/>
      <c r="AJ151" s="32"/>
      <c r="AK151" s="53"/>
      <c r="AL151" s="21" t="str">
        <f>IFERROR(VLOOKUP(October[[#This Row],[Drug Name5]],'Data Options'!$R$1:$S$100,2,FALSE), " ")</f>
        <v xml:space="preserve"> </v>
      </c>
      <c r="AM151" s="32"/>
      <c r="AN151" s="32"/>
      <c r="AO151" s="53"/>
      <c r="AP151" s="21" t="str">
        <f>IFERROR(VLOOKUP(October[[#This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21" t="str">
        <f>IFERROR(VLOOKUP(October[[#This Row],[Drug Name7]],'Data Options'!$R$1:$S$100,2,FALSE), " ")</f>
        <v xml:space="preserve"> </v>
      </c>
      <c r="AZ151" s="32"/>
      <c r="BA151" s="32"/>
      <c r="BB151" s="53"/>
      <c r="BC151" s="21" t="str">
        <f>IFERROR(VLOOKUP(October[[#This Row],[Drug Name8]],'Data Options'!$R$1:$S$100,2,FALSE), " ")</f>
        <v xml:space="preserve"> </v>
      </c>
      <c r="BD151" s="32"/>
      <c r="BE151" s="32"/>
      <c r="BF151" s="53"/>
      <c r="BG151" s="21" t="str">
        <f>IFERROR(VLOOKUP(October[[#This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21" t="str">
        <f>IFERROR(VLOOKUP(October[[#This Row],[Drug Name]],'Data Options'!$R$1:$S$100,2,FALSE), " ")</f>
        <v xml:space="preserve"> </v>
      </c>
      <c r="R152" s="32"/>
      <c r="S152" s="32"/>
      <c r="T152" s="53"/>
      <c r="U152" s="21" t="str">
        <f>IFERROR(VLOOKUP(October[[#This Row],[Drug Name2]],'Data Options'!$R$1:$S$100,2,FALSE), " ")</f>
        <v xml:space="preserve"> </v>
      </c>
      <c r="V152" s="32"/>
      <c r="W152" s="32"/>
      <c r="X152" s="53"/>
      <c r="Y152" s="21" t="str">
        <f>IFERROR(VLOOKUP(October[[#This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21" t="str">
        <f>IFERROR(VLOOKUP(October[[#This Row],[Drug Name4]],'Data Options'!$R$1:$S$100,2,FALSE), " ")</f>
        <v xml:space="preserve"> </v>
      </c>
      <c r="AI152" s="32"/>
      <c r="AJ152" s="32"/>
      <c r="AK152" s="53"/>
      <c r="AL152" s="21" t="str">
        <f>IFERROR(VLOOKUP(October[[#This Row],[Drug Name5]],'Data Options'!$R$1:$S$100,2,FALSE), " ")</f>
        <v xml:space="preserve"> </v>
      </c>
      <c r="AM152" s="32"/>
      <c r="AN152" s="32"/>
      <c r="AO152" s="53"/>
      <c r="AP152" s="21" t="str">
        <f>IFERROR(VLOOKUP(October[[#This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21" t="str">
        <f>IFERROR(VLOOKUP(October[[#This Row],[Drug Name7]],'Data Options'!$R$1:$S$100,2,FALSE), " ")</f>
        <v xml:space="preserve"> </v>
      </c>
      <c r="AZ152" s="32"/>
      <c r="BA152" s="32"/>
      <c r="BB152" s="53"/>
      <c r="BC152" s="21" t="str">
        <f>IFERROR(VLOOKUP(October[[#This Row],[Drug Name8]],'Data Options'!$R$1:$S$100,2,FALSE), " ")</f>
        <v xml:space="preserve"> </v>
      </c>
      <c r="BD152" s="32"/>
      <c r="BE152" s="32"/>
      <c r="BF152" s="53"/>
      <c r="BG152" s="21" t="str">
        <f>IFERROR(VLOOKUP(October[[#This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21" t="str">
        <f>IFERROR(VLOOKUP(October[[#This Row],[Drug Name]],'Data Options'!$R$1:$S$100,2,FALSE), " ")</f>
        <v xml:space="preserve"> </v>
      </c>
      <c r="R153" s="32"/>
      <c r="S153" s="32"/>
      <c r="T153" s="53"/>
      <c r="U153" s="21" t="str">
        <f>IFERROR(VLOOKUP(October[[#This Row],[Drug Name2]],'Data Options'!$R$1:$S$100,2,FALSE), " ")</f>
        <v xml:space="preserve"> </v>
      </c>
      <c r="V153" s="32"/>
      <c r="W153" s="32"/>
      <c r="X153" s="53"/>
      <c r="Y153" s="21" t="str">
        <f>IFERROR(VLOOKUP(October[[#This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21" t="str">
        <f>IFERROR(VLOOKUP(October[[#This Row],[Drug Name4]],'Data Options'!$R$1:$S$100,2,FALSE), " ")</f>
        <v xml:space="preserve"> </v>
      </c>
      <c r="AI153" s="32"/>
      <c r="AJ153" s="32"/>
      <c r="AK153" s="53"/>
      <c r="AL153" s="21" t="str">
        <f>IFERROR(VLOOKUP(October[[#This Row],[Drug Name5]],'Data Options'!$R$1:$S$100,2,FALSE), " ")</f>
        <v xml:space="preserve"> </v>
      </c>
      <c r="AM153" s="32"/>
      <c r="AN153" s="32"/>
      <c r="AO153" s="53"/>
      <c r="AP153" s="21" t="str">
        <f>IFERROR(VLOOKUP(October[[#This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21" t="str">
        <f>IFERROR(VLOOKUP(October[[#This Row],[Drug Name7]],'Data Options'!$R$1:$S$100,2,FALSE), " ")</f>
        <v xml:space="preserve"> </v>
      </c>
      <c r="AZ153" s="32"/>
      <c r="BA153" s="32"/>
      <c r="BB153" s="53"/>
      <c r="BC153" s="21" t="str">
        <f>IFERROR(VLOOKUP(October[[#This Row],[Drug Name8]],'Data Options'!$R$1:$S$100,2,FALSE), " ")</f>
        <v xml:space="preserve"> </v>
      </c>
      <c r="BD153" s="32"/>
      <c r="BE153" s="32"/>
      <c r="BF153" s="53"/>
      <c r="BG153" s="21" t="str">
        <f>IFERROR(VLOOKUP(October[[#This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21" t="str">
        <f>IFERROR(VLOOKUP(October[[#This Row],[Drug Name]],'Data Options'!$R$1:$S$100,2,FALSE), " ")</f>
        <v xml:space="preserve"> </v>
      </c>
      <c r="R154" s="32"/>
      <c r="S154" s="32"/>
      <c r="T154" s="53"/>
      <c r="U154" s="21" t="str">
        <f>IFERROR(VLOOKUP(October[[#This Row],[Drug Name2]],'Data Options'!$R$1:$S$100,2,FALSE), " ")</f>
        <v xml:space="preserve"> </v>
      </c>
      <c r="V154" s="32"/>
      <c r="W154" s="32"/>
      <c r="X154" s="53"/>
      <c r="Y154" s="21" t="str">
        <f>IFERROR(VLOOKUP(October[[#This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21" t="str">
        <f>IFERROR(VLOOKUP(October[[#This Row],[Drug Name4]],'Data Options'!$R$1:$S$100,2,FALSE), " ")</f>
        <v xml:space="preserve"> </v>
      </c>
      <c r="AI154" s="32"/>
      <c r="AJ154" s="32"/>
      <c r="AK154" s="53"/>
      <c r="AL154" s="21" t="str">
        <f>IFERROR(VLOOKUP(October[[#This Row],[Drug Name5]],'Data Options'!$R$1:$S$100,2,FALSE), " ")</f>
        <v xml:space="preserve"> </v>
      </c>
      <c r="AM154" s="32"/>
      <c r="AN154" s="32"/>
      <c r="AO154" s="53"/>
      <c r="AP154" s="21" t="str">
        <f>IFERROR(VLOOKUP(October[[#This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21" t="str">
        <f>IFERROR(VLOOKUP(October[[#This Row],[Drug Name7]],'Data Options'!$R$1:$S$100,2,FALSE), " ")</f>
        <v xml:space="preserve"> </v>
      </c>
      <c r="AZ154" s="32"/>
      <c r="BA154" s="32"/>
      <c r="BB154" s="53"/>
      <c r="BC154" s="21" t="str">
        <f>IFERROR(VLOOKUP(October[[#This Row],[Drug Name8]],'Data Options'!$R$1:$S$100,2,FALSE), " ")</f>
        <v xml:space="preserve"> </v>
      </c>
      <c r="BD154" s="32"/>
      <c r="BE154" s="32"/>
      <c r="BF154" s="53"/>
      <c r="BG154" s="21" t="str">
        <f>IFERROR(VLOOKUP(October[[#This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21" t="str">
        <f>IFERROR(VLOOKUP(October[[#This Row],[Drug Name]],'Data Options'!$R$1:$S$100,2,FALSE), " ")</f>
        <v xml:space="preserve"> </v>
      </c>
      <c r="R155" s="32"/>
      <c r="S155" s="32"/>
      <c r="T155" s="53"/>
      <c r="U155" s="21" t="str">
        <f>IFERROR(VLOOKUP(October[[#This Row],[Drug Name2]],'Data Options'!$R$1:$S$100,2,FALSE), " ")</f>
        <v xml:space="preserve"> </v>
      </c>
      <c r="V155" s="32"/>
      <c r="W155" s="32"/>
      <c r="X155" s="53"/>
      <c r="Y155" s="21" t="str">
        <f>IFERROR(VLOOKUP(October[[#This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21" t="str">
        <f>IFERROR(VLOOKUP(October[[#This Row],[Drug Name4]],'Data Options'!$R$1:$S$100,2,FALSE), " ")</f>
        <v xml:space="preserve"> </v>
      </c>
      <c r="AI155" s="32"/>
      <c r="AJ155" s="32"/>
      <c r="AK155" s="53"/>
      <c r="AL155" s="21" t="str">
        <f>IFERROR(VLOOKUP(October[[#This Row],[Drug Name5]],'Data Options'!$R$1:$S$100,2,FALSE), " ")</f>
        <v xml:space="preserve"> </v>
      </c>
      <c r="AM155" s="32"/>
      <c r="AN155" s="32"/>
      <c r="AO155" s="53"/>
      <c r="AP155" s="21" t="str">
        <f>IFERROR(VLOOKUP(October[[#This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21" t="str">
        <f>IFERROR(VLOOKUP(October[[#This Row],[Drug Name7]],'Data Options'!$R$1:$S$100,2,FALSE), " ")</f>
        <v xml:space="preserve"> </v>
      </c>
      <c r="AZ155" s="32"/>
      <c r="BA155" s="32"/>
      <c r="BB155" s="53"/>
      <c r="BC155" s="21" t="str">
        <f>IFERROR(VLOOKUP(October[[#This Row],[Drug Name8]],'Data Options'!$R$1:$S$100,2,FALSE), " ")</f>
        <v xml:space="preserve"> </v>
      </c>
      <c r="BD155" s="32"/>
      <c r="BE155" s="32"/>
      <c r="BF155" s="53"/>
      <c r="BG155" s="21" t="str">
        <f>IFERROR(VLOOKUP(October[[#This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21" t="str">
        <f>IFERROR(VLOOKUP(October[[#This Row],[Drug Name]],'Data Options'!$R$1:$S$100,2,FALSE), " ")</f>
        <v xml:space="preserve"> </v>
      </c>
      <c r="R156" s="32"/>
      <c r="S156" s="32"/>
      <c r="T156" s="53"/>
      <c r="U156" s="21" t="str">
        <f>IFERROR(VLOOKUP(October[[#This Row],[Drug Name2]],'Data Options'!$R$1:$S$100,2,FALSE), " ")</f>
        <v xml:space="preserve"> </v>
      </c>
      <c r="V156" s="32"/>
      <c r="W156" s="32"/>
      <c r="X156" s="53"/>
      <c r="Y156" s="21" t="str">
        <f>IFERROR(VLOOKUP(October[[#This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21" t="str">
        <f>IFERROR(VLOOKUP(October[[#This Row],[Drug Name4]],'Data Options'!$R$1:$S$100,2,FALSE), " ")</f>
        <v xml:space="preserve"> </v>
      </c>
      <c r="AI156" s="32"/>
      <c r="AJ156" s="32"/>
      <c r="AK156" s="53"/>
      <c r="AL156" s="21" t="str">
        <f>IFERROR(VLOOKUP(October[[#This Row],[Drug Name5]],'Data Options'!$R$1:$S$100,2,FALSE), " ")</f>
        <v xml:space="preserve"> </v>
      </c>
      <c r="AM156" s="32"/>
      <c r="AN156" s="32"/>
      <c r="AO156" s="53"/>
      <c r="AP156" s="21" t="str">
        <f>IFERROR(VLOOKUP(October[[#This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21" t="str">
        <f>IFERROR(VLOOKUP(October[[#This Row],[Drug Name7]],'Data Options'!$R$1:$S$100,2,FALSE), " ")</f>
        <v xml:space="preserve"> </v>
      </c>
      <c r="AZ156" s="32"/>
      <c r="BA156" s="32"/>
      <c r="BB156" s="53"/>
      <c r="BC156" s="21" t="str">
        <f>IFERROR(VLOOKUP(October[[#This Row],[Drug Name8]],'Data Options'!$R$1:$S$100,2,FALSE), " ")</f>
        <v xml:space="preserve"> </v>
      </c>
      <c r="BD156" s="32"/>
      <c r="BE156" s="32"/>
      <c r="BF156" s="53"/>
      <c r="BG156" s="21" t="str">
        <f>IFERROR(VLOOKUP(October[[#This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21" t="str">
        <f>IFERROR(VLOOKUP(October[[#This Row],[Drug Name]],'Data Options'!$R$1:$S$100,2,FALSE), " ")</f>
        <v xml:space="preserve"> </v>
      </c>
      <c r="R157" s="32"/>
      <c r="S157" s="32"/>
      <c r="T157" s="53"/>
      <c r="U157" s="21" t="str">
        <f>IFERROR(VLOOKUP(October[[#This Row],[Drug Name2]],'Data Options'!$R$1:$S$100,2,FALSE), " ")</f>
        <v xml:space="preserve"> </v>
      </c>
      <c r="V157" s="32"/>
      <c r="W157" s="32"/>
      <c r="X157" s="53"/>
      <c r="Y157" s="21" t="str">
        <f>IFERROR(VLOOKUP(October[[#This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21" t="str">
        <f>IFERROR(VLOOKUP(October[[#This Row],[Drug Name4]],'Data Options'!$R$1:$S$100,2,FALSE), " ")</f>
        <v xml:space="preserve"> </v>
      </c>
      <c r="AI157" s="32"/>
      <c r="AJ157" s="32"/>
      <c r="AK157" s="53"/>
      <c r="AL157" s="21" t="str">
        <f>IFERROR(VLOOKUP(October[[#This Row],[Drug Name5]],'Data Options'!$R$1:$S$100,2,FALSE), " ")</f>
        <v xml:space="preserve"> </v>
      </c>
      <c r="AM157" s="32"/>
      <c r="AN157" s="32"/>
      <c r="AO157" s="53"/>
      <c r="AP157" s="21" t="str">
        <f>IFERROR(VLOOKUP(October[[#This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21" t="str">
        <f>IFERROR(VLOOKUP(October[[#This Row],[Drug Name7]],'Data Options'!$R$1:$S$100,2,FALSE), " ")</f>
        <v xml:space="preserve"> </v>
      </c>
      <c r="AZ157" s="32"/>
      <c r="BA157" s="32"/>
      <c r="BB157" s="53"/>
      <c r="BC157" s="21" t="str">
        <f>IFERROR(VLOOKUP(October[[#This Row],[Drug Name8]],'Data Options'!$R$1:$S$100,2,FALSE), " ")</f>
        <v xml:space="preserve"> </v>
      </c>
      <c r="BD157" s="32"/>
      <c r="BE157" s="32"/>
      <c r="BF157" s="53"/>
      <c r="BG157" s="21" t="str">
        <f>IFERROR(VLOOKUP(October[[#This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21" t="str">
        <f>IFERROR(VLOOKUP(October[[#This Row],[Drug Name]],'Data Options'!$R$1:$S$100,2,FALSE), " ")</f>
        <v xml:space="preserve"> </v>
      </c>
      <c r="R158" s="32"/>
      <c r="S158" s="32"/>
      <c r="T158" s="53"/>
      <c r="U158" s="21" t="str">
        <f>IFERROR(VLOOKUP(October[[#This Row],[Drug Name2]],'Data Options'!$R$1:$S$100,2,FALSE), " ")</f>
        <v xml:space="preserve"> </v>
      </c>
      <c r="V158" s="32"/>
      <c r="W158" s="32"/>
      <c r="X158" s="53"/>
      <c r="Y158" s="21" t="str">
        <f>IFERROR(VLOOKUP(October[[#This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21" t="str">
        <f>IFERROR(VLOOKUP(October[[#This Row],[Drug Name4]],'Data Options'!$R$1:$S$100,2,FALSE), " ")</f>
        <v xml:space="preserve"> </v>
      </c>
      <c r="AI158" s="32"/>
      <c r="AJ158" s="32"/>
      <c r="AK158" s="53"/>
      <c r="AL158" s="21" t="str">
        <f>IFERROR(VLOOKUP(October[[#This Row],[Drug Name5]],'Data Options'!$R$1:$S$100,2,FALSE), " ")</f>
        <v xml:space="preserve"> </v>
      </c>
      <c r="AM158" s="32"/>
      <c r="AN158" s="32"/>
      <c r="AO158" s="53"/>
      <c r="AP158" s="21" t="str">
        <f>IFERROR(VLOOKUP(October[[#This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21" t="str">
        <f>IFERROR(VLOOKUP(October[[#This Row],[Drug Name7]],'Data Options'!$R$1:$S$100,2,FALSE), " ")</f>
        <v xml:space="preserve"> </v>
      </c>
      <c r="AZ158" s="32"/>
      <c r="BA158" s="32"/>
      <c r="BB158" s="53"/>
      <c r="BC158" s="21" t="str">
        <f>IFERROR(VLOOKUP(October[[#This Row],[Drug Name8]],'Data Options'!$R$1:$S$100,2,FALSE), " ")</f>
        <v xml:space="preserve"> </v>
      </c>
      <c r="BD158" s="32"/>
      <c r="BE158" s="32"/>
      <c r="BF158" s="53"/>
      <c r="BG158" s="21" t="str">
        <f>IFERROR(VLOOKUP(October[[#This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21" t="str">
        <f>IFERROR(VLOOKUP(October[[#This Row],[Drug Name]],'Data Options'!$R$1:$S$100,2,FALSE), " ")</f>
        <v xml:space="preserve"> </v>
      </c>
      <c r="R159" s="32"/>
      <c r="S159" s="32"/>
      <c r="T159" s="53"/>
      <c r="U159" s="21" t="str">
        <f>IFERROR(VLOOKUP(October[[#This Row],[Drug Name2]],'Data Options'!$R$1:$S$100,2,FALSE), " ")</f>
        <v xml:space="preserve"> </v>
      </c>
      <c r="V159" s="32"/>
      <c r="W159" s="32"/>
      <c r="X159" s="53"/>
      <c r="Y159" s="21" t="str">
        <f>IFERROR(VLOOKUP(October[[#This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21" t="str">
        <f>IFERROR(VLOOKUP(October[[#This Row],[Drug Name4]],'Data Options'!$R$1:$S$100,2,FALSE), " ")</f>
        <v xml:space="preserve"> </v>
      </c>
      <c r="AI159" s="32"/>
      <c r="AJ159" s="32"/>
      <c r="AK159" s="53"/>
      <c r="AL159" s="21" t="str">
        <f>IFERROR(VLOOKUP(October[[#This Row],[Drug Name5]],'Data Options'!$R$1:$S$100,2,FALSE), " ")</f>
        <v xml:space="preserve"> </v>
      </c>
      <c r="AM159" s="32"/>
      <c r="AN159" s="32"/>
      <c r="AO159" s="53"/>
      <c r="AP159" s="21" t="str">
        <f>IFERROR(VLOOKUP(October[[#This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21" t="str">
        <f>IFERROR(VLOOKUP(October[[#This Row],[Drug Name7]],'Data Options'!$R$1:$S$100,2,FALSE), " ")</f>
        <v xml:space="preserve"> </v>
      </c>
      <c r="AZ159" s="32"/>
      <c r="BA159" s="32"/>
      <c r="BB159" s="53"/>
      <c r="BC159" s="21" t="str">
        <f>IFERROR(VLOOKUP(October[[#This Row],[Drug Name8]],'Data Options'!$R$1:$S$100,2,FALSE), " ")</f>
        <v xml:space="preserve"> </v>
      </c>
      <c r="BD159" s="32"/>
      <c r="BE159" s="32"/>
      <c r="BF159" s="53"/>
      <c r="BG159" s="21" t="str">
        <f>IFERROR(VLOOKUP(October[[#This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21" t="str">
        <f>IFERROR(VLOOKUP(October[[#This Row],[Drug Name]],'Data Options'!$R$1:$S$100,2,FALSE), " ")</f>
        <v xml:space="preserve"> </v>
      </c>
      <c r="R160" s="32"/>
      <c r="S160" s="32"/>
      <c r="T160" s="53"/>
      <c r="U160" s="21" t="str">
        <f>IFERROR(VLOOKUP(October[[#This Row],[Drug Name2]],'Data Options'!$R$1:$S$100,2,FALSE), " ")</f>
        <v xml:space="preserve"> </v>
      </c>
      <c r="V160" s="32"/>
      <c r="W160" s="32"/>
      <c r="X160" s="53"/>
      <c r="Y160" s="21" t="str">
        <f>IFERROR(VLOOKUP(October[[#This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21" t="str">
        <f>IFERROR(VLOOKUP(October[[#This Row],[Drug Name4]],'Data Options'!$R$1:$S$100,2,FALSE), " ")</f>
        <v xml:space="preserve"> </v>
      </c>
      <c r="AI160" s="32"/>
      <c r="AJ160" s="32"/>
      <c r="AK160" s="53"/>
      <c r="AL160" s="21" t="str">
        <f>IFERROR(VLOOKUP(October[[#This Row],[Drug Name5]],'Data Options'!$R$1:$S$100,2,FALSE), " ")</f>
        <v xml:space="preserve"> </v>
      </c>
      <c r="AM160" s="32"/>
      <c r="AN160" s="32"/>
      <c r="AO160" s="53"/>
      <c r="AP160" s="21" t="str">
        <f>IFERROR(VLOOKUP(October[[#This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21" t="str">
        <f>IFERROR(VLOOKUP(October[[#This Row],[Drug Name7]],'Data Options'!$R$1:$S$100,2,FALSE), " ")</f>
        <v xml:space="preserve"> </v>
      </c>
      <c r="AZ160" s="32"/>
      <c r="BA160" s="32"/>
      <c r="BB160" s="53"/>
      <c r="BC160" s="21" t="str">
        <f>IFERROR(VLOOKUP(October[[#This Row],[Drug Name8]],'Data Options'!$R$1:$S$100,2,FALSE), " ")</f>
        <v xml:space="preserve"> </v>
      </c>
      <c r="BD160" s="32"/>
      <c r="BE160" s="32"/>
      <c r="BF160" s="53"/>
      <c r="BG160" s="21" t="str">
        <f>IFERROR(VLOOKUP(October[[#This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21" t="str">
        <f>IFERROR(VLOOKUP(October[[#This Row],[Drug Name]],'Data Options'!$R$1:$S$100,2,FALSE), " ")</f>
        <v xml:space="preserve"> </v>
      </c>
      <c r="R161" s="32"/>
      <c r="S161" s="32"/>
      <c r="T161" s="53"/>
      <c r="U161" s="21" t="str">
        <f>IFERROR(VLOOKUP(October[[#This Row],[Drug Name2]],'Data Options'!$R$1:$S$100,2,FALSE), " ")</f>
        <v xml:space="preserve"> </v>
      </c>
      <c r="V161" s="32"/>
      <c r="W161" s="32"/>
      <c r="X161" s="53"/>
      <c r="Y161" s="21" t="str">
        <f>IFERROR(VLOOKUP(October[[#This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21" t="str">
        <f>IFERROR(VLOOKUP(October[[#This Row],[Drug Name4]],'Data Options'!$R$1:$S$100,2,FALSE), " ")</f>
        <v xml:space="preserve"> </v>
      </c>
      <c r="AI161" s="32"/>
      <c r="AJ161" s="32"/>
      <c r="AK161" s="53"/>
      <c r="AL161" s="21" t="str">
        <f>IFERROR(VLOOKUP(October[[#This Row],[Drug Name5]],'Data Options'!$R$1:$S$100,2,FALSE), " ")</f>
        <v xml:space="preserve"> </v>
      </c>
      <c r="AM161" s="32"/>
      <c r="AN161" s="32"/>
      <c r="AO161" s="53"/>
      <c r="AP161" s="21" t="str">
        <f>IFERROR(VLOOKUP(October[[#This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21" t="str">
        <f>IFERROR(VLOOKUP(October[[#This Row],[Drug Name7]],'Data Options'!$R$1:$S$100,2,FALSE), " ")</f>
        <v xml:space="preserve"> </v>
      </c>
      <c r="AZ161" s="32"/>
      <c r="BA161" s="32"/>
      <c r="BB161" s="53"/>
      <c r="BC161" s="21" t="str">
        <f>IFERROR(VLOOKUP(October[[#This Row],[Drug Name8]],'Data Options'!$R$1:$S$100,2,FALSE), " ")</f>
        <v xml:space="preserve"> </v>
      </c>
      <c r="BD161" s="32"/>
      <c r="BE161" s="32"/>
      <c r="BF161" s="53"/>
      <c r="BG161" s="21" t="str">
        <f>IFERROR(VLOOKUP(October[[#This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21" t="str">
        <f>IFERROR(VLOOKUP(October[[#This Row],[Drug Name]],'Data Options'!$R$1:$S$100,2,FALSE), " ")</f>
        <v xml:space="preserve"> </v>
      </c>
      <c r="R162" s="32"/>
      <c r="S162" s="32"/>
      <c r="T162" s="53"/>
      <c r="U162" s="21" t="str">
        <f>IFERROR(VLOOKUP(October[[#This Row],[Drug Name2]],'Data Options'!$R$1:$S$100,2,FALSE), " ")</f>
        <v xml:space="preserve"> </v>
      </c>
      <c r="V162" s="32"/>
      <c r="W162" s="32"/>
      <c r="X162" s="53"/>
      <c r="Y162" s="21" t="str">
        <f>IFERROR(VLOOKUP(October[[#This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21" t="str">
        <f>IFERROR(VLOOKUP(October[[#This Row],[Drug Name4]],'Data Options'!$R$1:$S$100,2,FALSE), " ")</f>
        <v xml:space="preserve"> </v>
      </c>
      <c r="AI162" s="32"/>
      <c r="AJ162" s="32"/>
      <c r="AK162" s="53"/>
      <c r="AL162" s="21" t="str">
        <f>IFERROR(VLOOKUP(October[[#This Row],[Drug Name5]],'Data Options'!$R$1:$S$100,2,FALSE), " ")</f>
        <v xml:space="preserve"> </v>
      </c>
      <c r="AM162" s="32"/>
      <c r="AN162" s="32"/>
      <c r="AO162" s="53"/>
      <c r="AP162" s="21" t="str">
        <f>IFERROR(VLOOKUP(October[[#This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21" t="str">
        <f>IFERROR(VLOOKUP(October[[#This Row],[Drug Name7]],'Data Options'!$R$1:$S$100,2,FALSE), " ")</f>
        <v xml:space="preserve"> </v>
      </c>
      <c r="AZ162" s="32"/>
      <c r="BA162" s="32"/>
      <c r="BB162" s="53"/>
      <c r="BC162" s="21" t="str">
        <f>IFERROR(VLOOKUP(October[[#This Row],[Drug Name8]],'Data Options'!$R$1:$S$100,2,FALSE), " ")</f>
        <v xml:space="preserve"> </v>
      </c>
      <c r="BD162" s="32"/>
      <c r="BE162" s="32"/>
      <c r="BF162" s="53"/>
      <c r="BG162" s="21" t="str">
        <f>IFERROR(VLOOKUP(October[[#This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21" t="str">
        <f>IFERROR(VLOOKUP(October[[#This Row],[Drug Name]],'Data Options'!$R$1:$S$100,2,FALSE), " ")</f>
        <v xml:space="preserve"> </v>
      </c>
      <c r="R163" s="32"/>
      <c r="S163" s="32"/>
      <c r="T163" s="53"/>
      <c r="U163" s="21" t="str">
        <f>IFERROR(VLOOKUP(October[[#This Row],[Drug Name2]],'Data Options'!$R$1:$S$100,2,FALSE), " ")</f>
        <v xml:space="preserve"> </v>
      </c>
      <c r="V163" s="32"/>
      <c r="W163" s="32"/>
      <c r="X163" s="53"/>
      <c r="Y163" s="21" t="str">
        <f>IFERROR(VLOOKUP(October[[#This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21" t="str">
        <f>IFERROR(VLOOKUP(October[[#This Row],[Drug Name4]],'Data Options'!$R$1:$S$100,2,FALSE), " ")</f>
        <v xml:space="preserve"> </v>
      </c>
      <c r="AI163" s="32"/>
      <c r="AJ163" s="32"/>
      <c r="AK163" s="53"/>
      <c r="AL163" s="21" t="str">
        <f>IFERROR(VLOOKUP(October[[#This Row],[Drug Name5]],'Data Options'!$R$1:$S$100,2,FALSE), " ")</f>
        <v xml:space="preserve"> </v>
      </c>
      <c r="AM163" s="32"/>
      <c r="AN163" s="32"/>
      <c r="AO163" s="53"/>
      <c r="AP163" s="21" t="str">
        <f>IFERROR(VLOOKUP(October[[#This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21" t="str">
        <f>IFERROR(VLOOKUP(October[[#This Row],[Drug Name7]],'Data Options'!$R$1:$S$100,2,FALSE), " ")</f>
        <v xml:space="preserve"> </v>
      </c>
      <c r="AZ163" s="32"/>
      <c r="BA163" s="32"/>
      <c r="BB163" s="53"/>
      <c r="BC163" s="21" t="str">
        <f>IFERROR(VLOOKUP(October[[#This Row],[Drug Name8]],'Data Options'!$R$1:$S$100,2,FALSE), " ")</f>
        <v xml:space="preserve"> </v>
      </c>
      <c r="BD163" s="32"/>
      <c r="BE163" s="32"/>
      <c r="BF163" s="53"/>
      <c r="BG163" s="21" t="str">
        <f>IFERROR(VLOOKUP(October[[#This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21" t="str">
        <f>IFERROR(VLOOKUP(October[[#This Row],[Drug Name]],'Data Options'!$R$1:$S$100,2,FALSE), " ")</f>
        <v xml:space="preserve"> </v>
      </c>
      <c r="R164" s="32"/>
      <c r="S164" s="32"/>
      <c r="T164" s="53"/>
      <c r="U164" s="21" t="str">
        <f>IFERROR(VLOOKUP(October[[#This Row],[Drug Name2]],'Data Options'!$R$1:$S$100,2,FALSE), " ")</f>
        <v xml:space="preserve"> </v>
      </c>
      <c r="V164" s="32"/>
      <c r="W164" s="32"/>
      <c r="X164" s="53"/>
      <c r="Y164" s="21" t="str">
        <f>IFERROR(VLOOKUP(October[[#This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21" t="str">
        <f>IFERROR(VLOOKUP(October[[#This Row],[Drug Name4]],'Data Options'!$R$1:$S$100,2,FALSE), " ")</f>
        <v xml:space="preserve"> </v>
      </c>
      <c r="AI164" s="32"/>
      <c r="AJ164" s="32"/>
      <c r="AK164" s="53"/>
      <c r="AL164" s="21" t="str">
        <f>IFERROR(VLOOKUP(October[[#This Row],[Drug Name5]],'Data Options'!$R$1:$S$100,2,FALSE), " ")</f>
        <v xml:space="preserve"> </v>
      </c>
      <c r="AM164" s="32"/>
      <c r="AN164" s="32"/>
      <c r="AO164" s="53"/>
      <c r="AP164" s="21" t="str">
        <f>IFERROR(VLOOKUP(October[[#This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21" t="str">
        <f>IFERROR(VLOOKUP(October[[#This Row],[Drug Name7]],'Data Options'!$R$1:$S$100,2,FALSE), " ")</f>
        <v xml:space="preserve"> </v>
      </c>
      <c r="AZ164" s="32"/>
      <c r="BA164" s="32"/>
      <c r="BB164" s="53"/>
      <c r="BC164" s="21" t="str">
        <f>IFERROR(VLOOKUP(October[[#This Row],[Drug Name8]],'Data Options'!$R$1:$S$100,2,FALSE), " ")</f>
        <v xml:space="preserve"> </v>
      </c>
      <c r="BD164" s="32"/>
      <c r="BE164" s="32"/>
      <c r="BF164" s="53"/>
      <c r="BG164" s="21" t="str">
        <f>IFERROR(VLOOKUP(October[[#This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21" t="str">
        <f>IFERROR(VLOOKUP(October[[#This Row],[Drug Name]],'Data Options'!$R$1:$S$100,2,FALSE), " ")</f>
        <v xml:space="preserve"> </v>
      </c>
      <c r="R165" s="32"/>
      <c r="S165" s="32"/>
      <c r="T165" s="53"/>
      <c r="U165" s="21" t="str">
        <f>IFERROR(VLOOKUP(October[[#This Row],[Drug Name2]],'Data Options'!$R$1:$S$100,2,FALSE), " ")</f>
        <v xml:space="preserve"> </v>
      </c>
      <c r="V165" s="32"/>
      <c r="W165" s="32"/>
      <c r="X165" s="53"/>
      <c r="Y165" s="21" t="str">
        <f>IFERROR(VLOOKUP(October[[#This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21" t="str">
        <f>IFERROR(VLOOKUP(October[[#This Row],[Drug Name4]],'Data Options'!$R$1:$S$100,2,FALSE), " ")</f>
        <v xml:space="preserve"> </v>
      </c>
      <c r="AI165" s="32"/>
      <c r="AJ165" s="32"/>
      <c r="AK165" s="53"/>
      <c r="AL165" s="21" t="str">
        <f>IFERROR(VLOOKUP(October[[#This Row],[Drug Name5]],'Data Options'!$R$1:$S$100,2,FALSE), " ")</f>
        <v xml:space="preserve"> </v>
      </c>
      <c r="AM165" s="32"/>
      <c r="AN165" s="32"/>
      <c r="AO165" s="53"/>
      <c r="AP165" s="21" t="str">
        <f>IFERROR(VLOOKUP(October[[#This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21" t="str">
        <f>IFERROR(VLOOKUP(October[[#This Row],[Drug Name7]],'Data Options'!$R$1:$S$100,2,FALSE), " ")</f>
        <v xml:space="preserve"> </v>
      </c>
      <c r="AZ165" s="32"/>
      <c r="BA165" s="32"/>
      <c r="BB165" s="53"/>
      <c r="BC165" s="21" t="str">
        <f>IFERROR(VLOOKUP(October[[#This Row],[Drug Name8]],'Data Options'!$R$1:$S$100,2,FALSE), " ")</f>
        <v xml:space="preserve"> </v>
      </c>
      <c r="BD165" s="32"/>
      <c r="BE165" s="32"/>
      <c r="BF165" s="53"/>
      <c r="BG165" s="21" t="str">
        <f>IFERROR(VLOOKUP(October[[#This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21" t="str">
        <f>IFERROR(VLOOKUP(October[[#This Row],[Drug Name]],'Data Options'!$R$1:$S$100,2,FALSE), " ")</f>
        <v xml:space="preserve"> </v>
      </c>
      <c r="R166" s="32"/>
      <c r="S166" s="32"/>
      <c r="T166" s="53"/>
      <c r="U166" s="21" t="str">
        <f>IFERROR(VLOOKUP(October[[#This Row],[Drug Name2]],'Data Options'!$R$1:$S$100,2,FALSE), " ")</f>
        <v xml:space="preserve"> </v>
      </c>
      <c r="V166" s="32"/>
      <c r="W166" s="32"/>
      <c r="X166" s="53"/>
      <c r="Y166" s="21" t="str">
        <f>IFERROR(VLOOKUP(October[[#This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21" t="str">
        <f>IFERROR(VLOOKUP(October[[#This Row],[Drug Name4]],'Data Options'!$R$1:$S$100,2,FALSE), " ")</f>
        <v xml:space="preserve"> </v>
      </c>
      <c r="AI166" s="32"/>
      <c r="AJ166" s="32"/>
      <c r="AK166" s="53"/>
      <c r="AL166" s="21" t="str">
        <f>IFERROR(VLOOKUP(October[[#This Row],[Drug Name5]],'Data Options'!$R$1:$S$100,2,FALSE), " ")</f>
        <v xml:space="preserve"> </v>
      </c>
      <c r="AM166" s="32"/>
      <c r="AN166" s="32"/>
      <c r="AO166" s="53"/>
      <c r="AP166" s="21" t="str">
        <f>IFERROR(VLOOKUP(October[[#This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21" t="str">
        <f>IFERROR(VLOOKUP(October[[#This Row],[Drug Name7]],'Data Options'!$R$1:$S$100,2,FALSE), " ")</f>
        <v xml:space="preserve"> </v>
      </c>
      <c r="AZ166" s="32"/>
      <c r="BA166" s="32"/>
      <c r="BB166" s="53"/>
      <c r="BC166" s="21" t="str">
        <f>IFERROR(VLOOKUP(October[[#This Row],[Drug Name8]],'Data Options'!$R$1:$S$100,2,FALSE), " ")</f>
        <v xml:space="preserve"> </v>
      </c>
      <c r="BD166" s="32"/>
      <c r="BE166" s="32"/>
      <c r="BF166" s="53"/>
      <c r="BG166" s="21" t="str">
        <f>IFERROR(VLOOKUP(October[[#This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21" t="str">
        <f>IFERROR(VLOOKUP(October[[#This Row],[Drug Name]],'Data Options'!$R$1:$S$100,2,FALSE), " ")</f>
        <v xml:space="preserve"> </v>
      </c>
      <c r="R167" s="32"/>
      <c r="S167" s="32"/>
      <c r="T167" s="53"/>
      <c r="U167" s="21" t="str">
        <f>IFERROR(VLOOKUP(October[[#This Row],[Drug Name2]],'Data Options'!$R$1:$S$100,2,FALSE), " ")</f>
        <v xml:space="preserve"> </v>
      </c>
      <c r="V167" s="32"/>
      <c r="W167" s="32"/>
      <c r="X167" s="53"/>
      <c r="Y167" s="21" t="str">
        <f>IFERROR(VLOOKUP(October[[#This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21" t="str">
        <f>IFERROR(VLOOKUP(October[[#This Row],[Drug Name4]],'Data Options'!$R$1:$S$100,2,FALSE), " ")</f>
        <v xml:space="preserve"> </v>
      </c>
      <c r="AI167" s="32"/>
      <c r="AJ167" s="32"/>
      <c r="AK167" s="53"/>
      <c r="AL167" s="21" t="str">
        <f>IFERROR(VLOOKUP(October[[#This Row],[Drug Name5]],'Data Options'!$R$1:$S$100,2,FALSE), " ")</f>
        <v xml:space="preserve"> </v>
      </c>
      <c r="AM167" s="32"/>
      <c r="AN167" s="32"/>
      <c r="AO167" s="53"/>
      <c r="AP167" s="21" t="str">
        <f>IFERROR(VLOOKUP(October[[#This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21" t="str">
        <f>IFERROR(VLOOKUP(October[[#This Row],[Drug Name7]],'Data Options'!$R$1:$S$100,2,FALSE), " ")</f>
        <v xml:space="preserve"> </v>
      </c>
      <c r="AZ167" s="32"/>
      <c r="BA167" s="32"/>
      <c r="BB167" s="53"/>
      <c r="BC167" s="21" t="str">
        <f>IFERROR(VLOOKUP(October[[#This Row],[Drug Name8]],'Data Options'!$R$1:$S$100,2,FALSE), " ")</f>
        <v xml:space="preserve"> </v>
      </c>
      <c r="BD167" s="32"/>
      <c r="BE167" s="32"/>
      <c r="BF167" s="53"/>
      <c r="BG167" s="21" t="str">
        <f>IFERROR(VLOOKUP(October[[#This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21" t="str">
        <f>IFERROR(VLOOKUP(October[[#This Row],[Drug Name]],'Data Options'!$R$1:$S$100,2,FALSE), " ")</f>
        <v xml:space="preserve"> </v>
      </c>
      <c r="R168" s="32"/>
      <c r="S168" s="32"/>
      <c r="T168" s="53"/>
      <c r="U168" s="21" t="str">
        <f>IFERROR(VLOOKUP(October[[#This Row],[Drug Name2]],'Data Options'!$R$1:$S$100,2,FALSE), " ")</f>
        <v xml:space="preserve"> </v>
      </c>
      <c r="V168" s="32"/>
      <c r="W168" s="32"/>
      <c r="X168" s="53"/>
      <c r="Y168" s="21" t="str">
        <f>IFERROR(VLOOKUP(October[[#This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21" t="str">
        <f>IFERROR(VLOOKUP(October[[#This Row],[Drug Name4]],'Data Options'!$R$1:$S$100,2,FALSE), " ")</f>
        <v xml:space="preserve"> </v>
      </c>
      <c r="AI168" s="32"/>
      <c r="AJ168" s="32"/>
      <c r="AK168" s="53"/>
      <c r="AL168" s="21" t="str">
        <f>IFERROR(VLOOKUP(October[[#This Row],[Drug Name5]],'Data Options'!$R$1:$S$100,2,FALSE), " ")</f>
        <v xml:space="preserve"> </v>
      </c>
      <c r="AM168" s="32"/>
      <c r="AN168" s="32"/>
      <c r="AO168" s="53"/>
      <c r="AP168" s="21" t="str">
        <f>IFERROR(VLOOKUP(October[[#This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21" t="str">
        <f>IFERROR(VLOOKUP(October[[#This Row],[Drug Name7]],'Data Options'!$R$1:$S$100,2,FALSE), " ")</f>
        <v xml:space="preserve"> </v>
      </c>
      <c r="AZ168" s="32"/>
      <c r="BA168" s="32"/>
      <c r="BB168" s="53"/>
      <c r="BC168" s="21" t="str">
        <f>IFERROR(VLOOKUP(October[[#This Row],[Drug Name8]],'Data Options'!$R$1:$S$100,2,FALSE), " ")</f>
        <v xml:space="preserve"> </v>
      </c>
      <c r="BD168" s="32"/>
      <c r="BE168" s="32"/>
      <c r="BF168" s="53"/>
      <c r="BG168" s="21" t="str">
        <f>IFERROR(VLOOKUP(October[[#This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21" t="str">
        <f>IFERROR(VLOOKUP(October[[#This Row],[Drug Name]],'Data Options'!$R$1:$S$100,2,FALSE), " ")</f>
        <v xml:space="preserve"> </v>
      </c>
      <c r="R169" s="32"/>
      <c r="S169" s="32"/>
      <c r="T169" s="53"/>
      <c r="U169" s="21" t="str">
        <f>IFERROR(VLOOKUP(October[[#This Row],[Drug Name2]],'Data Options'!$R$1:$S$100,2,FALSE), " ")</f>
        <v xml:space="preserve"> </v>
      </c>
      <c r="V169" s="32"/>
      <c r="W169" s="32"/>
      <c r="X169" s="53"/>
      <c r="Y169" s="21" t="str">
        <f>IFERROR(VLOOKUP(October[[#This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21" t="str">
        <f>IFERROR(VLOOKUP(October[[#This Row],[Drug Name4]],'Data Options'!$R$1:$S$100,2,FALSE), " ")</f>
        <v xml:space="preserve"> </v>
      </c>
      <c r="AI169" s="32"/>
      <c r="AJ169" s="32"/>
      <c r="AK169" s="53"/>
      <c r="AL169" s="21" t="str">
        <f>IFERROR(VLOOKUP(October[[#This Row],[Drug Name5]],'Data Options'!$R$1:$S$100,2,FALSE), " ")</f>
        <v xml:space="preserve"> </v>
      </c>
      <c r="AM169" s="32"/>
      <c r="AN169" s="32"/>
      <c r="AO169" s="53"/>
      <c r="AP169" s="21" t="str">
        <f>IFERROR(VLOOKUP(October[[#This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21" t="str">
        <f>IFERROR(VLOOKUP(October[[#This Row],[Drug Name7]],'Data Options'!$R$1:$S$100,2,FALSE), " ")</f>
        <v xml:space="preserve"> </v>
      </c>
      <c r="AZ169" s="32"/>
      <c r="BA169" s="32"/>
      <c r="BB169" s="53"/>
      <c r="BC169" s="21" t="str">
        <f>IFERROR(VLOOKUP(October[[#This Row],[Drug Name8]],'Data Options'!$R$1:$S$100,2,FALSE), " ")</f>
        <v xml:space="preserve"> </v>
      </c>
      <c r="BD169" s="32"/>
      <c r="BE169" s="32"/>
      <c r="BF169" s="53"/>
      <c r="BG169" s="21" t="str">
        <f>IFERROR(VLOOKUP(October[[#This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21" t="str">
        <f>IFERROR(VLOOKUP(October[[#This Row],[Drug Name]],'Data Options'!$R$1:$S$100,2,FALSE), " ")</f>
        <v xml:space="preserve"> </v>
      </c>
      <c r="R170" s="32"/>
      <c r="S170" s="32"/>
      <c r="T170" s="53"/>
      <c r="U170" s="21" t="str">
        <f>IFERROR(VLOOKUP(October[[#This Row],[Drug Name2]],'Data Options'!$R$1:$S$100,2,FALSE), " ")</f>
        <v xml:space="preserve"> </v>
      </c>
      <c r="V170" s="32"/>
      <c r="W170" s="32"/>
      <c r="X170" s="53"/>
      <c r="Y170" s="21" t="str">
        <f>IFERROR(VLOOKUP(October[[#This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21" t="str">
        <f>IFERROR(VLOOKUP(October[[#This Row],[Drug Name4]],'Data Options'!$R$1:$S$100,2,FALSE), " ")</f>
        <v xml:space="preserve"> </v>
      </c>
      <c r="AI170" s="32"/>
      <c r="AJ170" s="32"/>
      <c r="AK170" s="53"/>
      <c r="AL170" s="21" t="str">
        <f>IFERROR(VLOOKUP(October[[#This Row],[Drug Name5]],'Data Options'!$R$1:$S$100,2,FALSE), " ")</f>
        <v xml:space="preserve"> </v>
      </c>
      <c r="AM170" s="32"/>
      <c r="AN170" s="32"/>
      <c r="AO170" s="53"/>
      <c r="AP170" s="21" t="str">
        <f>IFERROR(VLOOKUP(October[[#This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21" t="str">
        <f>IFERROR(VLOOKUP(October[[#This Row],[Drug Name7]],'Data Options'!$R$1:$S$100,2,FALSE), " ")</f>
        <v xml:space="preserve"> </v>
      </c>
      <c r="AZ170" s="32"/>
      <c r="BA170" s="32"/>
      <c r="BB170" s="53"/>
      <c r="BC170" s="21" t="str">
        <f>IFERROR(VLOOKUP(October[[#This Row],[Drug Name8]],'Data Options'!$R$1:$S$100,2,FALSE), " ")</f>
        <v xml:space="preserve"> </v>
      </c>
      <c r="BD170" s="32"/>
      <c r="BE170" s="32"/>
      <c r="BF170" s="53"/>
      <c r="BG170" s="21" t="str">
        <f>IFERROR(VLOOKUP(October[[#This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21" t="str">
        <f>IFERROR(VLOOKUP(October[[#This Row],[Drug Name]],'Data Options'!$R$1:$S$100,2,FALSE), " ")</f>
        <v xml:space="preserve"> </v>
      </c>
      <c r="R171" s="32"/>
      <c r="S171" s="32"/>
      <c r="T171" s="53"/>
      <c r="U171" s="21" t="str">
        <f>IFERROR(VLOOKUP(October[[#This Row],[Drug Name2]],'Data Options'!$R$1:$S$100,2,FALSE), " ")</f>
        <v xml:space="preserve"> </v>
      </c>
      <c r="V171" s="32"/>
      <c r="W171" s="32"/>
      <c r="X171" s="53"/>
      <c r="Y171" s="21" t="str">
        <f>IFERROR(VLOOKUP(October[[#This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21" t="str">
        <f>IFERROR(VLOOKUP(October[[#This Row],[Drug Name4]],'Data Options'!$R$1:$S$100,2,FALSE), " ")</f>
        <v xml:space="preserve"> </v>
      </c>
      <c r="AI171" s="32"/>
      <c r="AJ171" s="32"/>
      <c r="AK171" s="53"/>
      <c r="AL171" s="21" t="str">
        <f>IFERROR(VLOOKUP(October[[#This Row],[Drug Name5]],'Data Options'!$R$1:$S$100,2,FALSE), " ")</f>
        <v xml:space="preserve"> </v>
      </c>
      <c r="AM171" s="32"/>
      <c r="AN171" s="32"/>
      <c r="AO171" s="53"/>
      <c r="AP171" s="21" t="str">
        <f>IFERROR(VLOOKUP(October[[#This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21" t="str">
        <f>IFERROR(VLOOKUP(October[[#This Row],[Drug Name7]],'Data Options'!$R$1:$S$100,2,FALSE), " ")</f>
        <v xml:space="preserve"> </v>
      </c>
      <c r="AZ171" s="32"/>
      <c r="BA171" s="32"/>
      <c r="BB171" s="53"/>
      <c r="BC171" s="21" t="str">
        <f>IFERROR(VLOOKUP(October[[#This Row],[Drug Name8]],'Data Options'!$R$1:$S$100,2,FALSE), " ")</f>
        <v xml:space="preserve"> </v>
      </c>
      <c r="BD171" s="32"/>
      <c r="BE171" s="32"/>
      <c r="BF171" s="53"/>
      <c r="BG171" s="21" t="str">
        <f>IFERROR(VLOOKUP(October[[#This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21" t="str">
        <f>IFERROR(VLOOKUP(October[[#This Row],[Drug Name]],'Data Options'!$R$1:$S$100,2,FALSE), " ")</f>
        <v xml:space="preserve"> </v>
      </c>
      <c r="R172" s="32"/>
      <c r="S172" s="32"/>
      <c r="T172" s="53"/>
      <c r="U172" s="21" t="str">
        <f>IFERROR(VLOOKUP(October[[#This Row],[Drug Name2]],'Data Options'!$R$1:$S$100,2,FALSE), " ")</f>
        <v xml:space="preserve"> </v>
      </c>
      <c r="V172" s="32"/>
      <c r="W172" s="32"/>
      <c r="X172" s="53"/>
      <c r="Y172" s="21" t="str">
        <f>IFERROR(VLOOKUP(October[[#This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21" t="str">
        <f>IFERROR(VLOOKUP(October[[#This Row],[Drug Name4]],'Data Options'!$R$1:$S$100,2,FALSE), " ")</f>
        <v xml:space="preserve"> </v>
      </c>
      <c r="AI172" s="32"/>
      <c r="AJ172" s="32"/>
      <c r="AK172" s="53"/>
      <c r="AL172" s="21" t="str">
        <f>IFERROR(VLOOKUP(October[[#This Row],[Drug Name5]],'Data Options'!$R$1:$S$100,2,FALSE), " ")</f>
        <v xml:space="preserve"> </v>
      </c>
      <c r="AM172" s="32"/>
      <c r="AN172" s="32"/>
      <c r="AO172" s="53"/>
      <c r="AP172" s="21" t="str">
        <f>IFERROR(VLOOKUP(October[[#This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21" t="str">
        <f>IFERROR(VLOOKUP(October[[#This Row],[Drug Name7]],'Data Options'!$R$1:$S$100,2,FALSE), " ")</f>
        <v xml:space="preserve"> </v>
      </c>
      <c r="AZ172" s="32"/>
      <c r="BA172" s="32"/>
      <c r="BB172" s="53"/>
      <c r="BC172" s="21" t="str">
        <f>IFERROR(VLOOKUP(October[[#This Row],[Drug Name8]],'Data Options'!$R$1:$S$100,2,FALSE), " ")</f>
        <v xml:space="preserve"> </v>
      </c>
      <c r="BD172" s="32"/>
      <c r="BE172" s="32"/>
      <c r="BF172" s="53"/>
      <c r="BG172" s="21" t="str">
        <f>IFERROR(VLOOKUP(October[[#This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21" t="str">
        <f>IFERROR(VLOOKUP(October[[#This Row],[Drug Name]],'Data Options'!$R$1:$S$100,2,FALSE), " ")</f>
        <v xml:space="preserve"> </v>
      </c>
      <c r="R173" s="32"/>
      <c r="S173" s="32"/>
      <c r="T173" s="53"/>
      <c r="U173" s="21" t="str">
        <f>IFERROR(VLOOKUP(October[[#This Row],[Drug Name2]],'Data Options'!$R$1:$S$100,2,FALSE), " ")</f>
        <v xml:space="preserve"> </v>
      </c>
      <c r="V173" s="32"/>
      <c r="W173" s="32"/>
      <c r="X173" s="53"/>
      <c r="Y173" s="21" t="str">
        <f>IFERROR(VLOOKUP(October[[#This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21" t="str">
        <f>IFERROR(VLOOKUP(October[[#This Row],[Drug Name4]],'Data Options'!$R$1:$S$100,2,FALSE), " ")</f>
        <v xml:space="preserve"> </v>
      </c>
      <c r="AI173" s="32"/>
      <c r="AJ173" s="32"/>
      <c r="AK173" s="53"/>
      <c r="AL173" s="21" t="str">
        <f>IFERROR(VLOOKUP(October[[#This Row],[Drug Name5]],'Data Options'!$R$1:$S$100,2,FALSE), " ")</f>
        <v xml:space="preserve"> </v>
      </c>
      <c r="AM173" s="32"/>
      <c r="AN173" s="32"/>
      <c r="AO173" s="53"/>
      <c r="AP173" s="21" t="str">
        <f>IFERROR(VLOOKUP(October[[#This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21" t="str">
        <f>IFERROR(VLOOKUP(October[[#This Row],[Drug Name7]],'Data Options'!$R$1:$S$100,2,FALSE), " ")</f>
        <v xml:space="preserve"> </v>
      </c>
      <c r="AZ173" s="32"/>
      <c r="BA173" s="32"/>
      <c r="BB173" s="53"/>
      <c r="BC173" s="21" t="str">
        <f>IFERROR(VLOOKUP(October[[#This Row],[Drug Name8]],'Data Options'!$R$1:$S$100,2,FALSE), " ")</f>
        <v xml:space="preserve"> </v>
      </c>
      <c r="BD173" s="32"/>
      <c r="BE173" s="32"/>
      <c r="BF173" s="53"/>
      <c r="BG173" s="21" t="str">
        <f>IFERROR(VLOOKUP(October[[#This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21" t="str">
        <f>IFERROR(VLOOKUP(October[[#This Row],[Drug Name]],'Data Options'!$R$1:$S$100,2,FALSE), " ")</f>
        <v xml:space="preserve"> </v>
      </c>
      <c r="R174" s="32"/>
      <c r="S174" s="32"/>
      <c r="T174" s="53"/>
      <c r="U174" s="21" t="str">
        <f>IFERROR(VLOOKUP(October[[#This Row],[Drug Name2]],'Data Options'!$R$1:$S$100,2,FALSE), " ")</f>
        <v xml:space="preserve"> </v>
      </c>
      <c r="V174" s="32"/>
      <c r="W174" s="32"/>
      <c r="X174" s="53"/>
      <c r="Y174" s="21" t="str">
        <f>IFERROR(VLOOKUP(October[[#This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21" t="str">
        <f>IFERROR(VLOOKUP(October[[#This Row],[Drug Name4]],'Data Options'!$R$1:$S$100,2,FALSE), " ")</f>
        <v xml:space="preserve"> </v>
      </c>
      <c r="AI174" s="32"/>
      <c r="AJ174" s="32"/>
      <c r="AK174" s="53"/>
      <c r="AL174" s="21" t="str">
        <f>IFERROR(VLOOKUP(October[[#This Row],[Drug Name5]],'Data Options'!$R$1:$S$100,2,FALSE), " ")</f>
        <v xml:space="preserve"> </v>
      </c>
      <c r="AM174" s="32"/>
      <c r="AN174" s="32"/>
      <c r="AO174" s="53"/>
      <c r="AP174" s="21" t="str">
        <f>IFERROR(VLOOKUP(October[[#This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21" t="str">
        <f>IFERROR(VLOOKUP(October[[#This Row],[Drug Name7]],'Data Options'!$R$1:$S$100,2,FALSE), " ")</f>
        <v xml:space="preserve"> </v>
      </c>
      <c r="AZ174" s="32"/>
      <c r="BA174" s="32"/>
      <c r="BB174" s="53"/>
      <c r="BC174" s="21" t="str">
        <f>IFERROR(VLOOKUP(October[[#This Row],[Drug Name8]],'Data Options'!$R$1:$S$100,2,FALSE), " ")</f>
        <v xml:space="preserve"> </v>
      </c>
      <c r="BD174" s="32"/>
      <c r="BE174" s="32"/>
      <c r="BF174" s="53"/>
      <c r="BG174" s="21" t="str">
        <f>IFERROR(VLOOKUP(October[[#This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21" t="str">
        <f>IFERROR(VLOOKUP(October[[#This Row],[Drug Name]],'Data Options'!$R$1:$S$100,2,FALSE), " ")</f>
        <v xml:space="preserve"> </v>
      </c>
      <c r="R175" s="32"/>
      <c r="S175" s="32"/>
      <c r="T175" s="53"/>
      <c r="U175" s="21" t="str">
        <f>IFERROR(VLOOKUP(October[[#This Row],[Drug Name2]],'Data Options'!$R$1:$S$100,2,FALSE), " ")</f>
        <v xml:space="preserve"> </v>
      </c>
      <c r="V175" s="32"/>
      <c r="W175" s="32"/>
      <c r="X175" s="53"/>
      <c r="Y175" s="21" t="str">
        <f>IFERROR(VLOOKUP(October[[#This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21" t="str">
        <f>IFERROR(VLOOKUP(October[[#This Row],[Drug Name4]],'Data Options'!$R$1:$S$100,2,FALSE), " ")</f>
        <v xml:space="preserve"> </v>
      </c>
      <c r="AI175" s="32"/>
      <c r="AJ175" s="32"/>
      <c r="AK175" s="53"/>
      <c r="AL175" s="21" t="str">
        <f>IFERROR(VLOOKUP(October[[#This Row],[Drug Name5]],'Data Options'!$R$1:$S$100,2,FALSE), " ")</f>
        <v xml:space="preserve"> </v>
      </c>
      <c r="AM175" s="32"/>
      <c r="AN175" s="32"/>
      <c r="AO175" s="53"/>
      <c r="AP175" s="21" t="str">
        <f>IFERROR(VLOOKUP(October[[#This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21" t="str">
        <f>IFERROR(VLOOKUP(October[[#This Row],[Drug Name7]],'Data Options'!$R$1:$S$100,2,FALSE), " ")</f>
        <v xml:space="preserve"> </v>
      </c>
      <c r="AZ175" s="32"/>
      <c r="BA175" s="32"/>
      <c r="BB175" s="53"/>
      <c r="BC175" s="21" t="str">
        <f>IFERROR(VLOOKUP(October[[#This Row],[Drug Name8]],'Data Options'!$R$1:$S$100,2,FALSE), " ")</f>
        <v xml:space="preserve"> </v>
      </c>
      <c r="BD175" s="32"/>
      <c r="BE175" s="32"/>
      <c r="BF175" s="53"/>
      <c r="BG175" s="21" t="str">
        <f>IFERROR(VLOOKUP(October[[#This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21" t="str">
        <f>IFERROR(VLOOKUP(October[[#This Row],[Drug Name]],'Data Options'!$R$1:$S$100,2,FALSE), " ")</f>
        <v xml:space="preserve"> </v>
      </c>
      <c r="R176" s="32"/>
      <c r="S176" s="32"/>
      <c r="T176" s="53"/>
      <c r="U176" s="21" t="str">
        <f>IFERROR(VLOOKUP(October[[#This Row],[Drug Name2]],'Data Options'!$R$1:$S$100,2,FALSE), " ")</f>
        <v xml:space="preserve"> </v>
      </c>
      <c r="V176" s="32"/>
      <c r="W176" s="32"/>
      <c r="X176" s="53"/>
      <c r="Y176" s="21" t="str">
        <f>IFERROR(VLOOKUP(October[[#This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21" t="str">
        <f>IFERROR(VLOOKUP(October[[#This Row],[Drug Name4]],'Data Options'!$R$1:$S$100,2,FALSE), " ")</f>
        <v xml:space="preserve"> </v>
      </c>
      <c r="AI176" s="32"/>
      <c r="AJ176" s="32"/>
      <c r="AK176" s="53"/>
      <c r="AL176" s="21" t="str">
        <f>IFERROR(VLOOKUP(October[[#This Row],[Drug Name5]],'Data Options'!$R$1:$S$100,2,FALSE), " ")</f>
        <v xml:space="preserve"> </v>
      </c>
      <c r="AM176" s="32"/>
      <c r="AN176" s="32"/>
      <c r="AO176" s="53"/>
      <c r="AP176" s="21" t="str">
        <f>IFERROR(VLOOKUP(October[[#This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21" t="str">
        <f>IFERROR(VLOOKUP(October[[#This Row],[Drug Name7]],'Data Options'!$R$1:$S$100,2,FALSE), " ")</f>
        <v xml:space="preserve"> </v>
      </c>
      <c r="AZ176" s="32"/>
      <c r="BA176" s="32"/>
      <c r="BB176" s="53"/>
      <c r="BC176" s="21" t="str">
        <f>IFERROR(VLOOKUP(October[[#This Row],[Drug Name8]],'Data Options'!$R$1:$S$100,2,FALSE), " ")</f>
        <v xml:space="preserve"> </v>
      </c>
      <c r="BD176" s="32"/>
      <c r="BE176" s="32"/>
      <c r="BF176" s="53"/>
      <c r="BG176" s="21" t="str">
        <f>IFERROR(VLOOKUP(October[[#This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21" t="str">
        <f>IFERROR(VLOOKUP(October[[#This Row],[Drug Name]],'Data Options'!$R$1:$S$100,2,FALSE), " ")</f>
        <v xml:space="preserve"> </v>
      </c>
      <c r="R177" s="32"/>
      <c r="S177" s="32"/>
      <c r="T177" s="53"/>
      <c r="U177" s="21" t="str">
        <f>IFERROR(VLOOKUP(October[[#This Row],[Drug Name2]],'Data Options'!$R$1:$S$100,2,FALSE), " ")</f>
        <v xml:space="preserve"> </v>
      </c>
      <c r="V177" s="32"/>
      <c r="W177" s="32"/>
      <c r="X177" s="53"/>
      <c r="Y177" s="21" t="str">
        <f>IFERROR(VLOOKUP(October[[#This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21" t="str">
        <f>IFERROR(VLOOKUP(October[[#This Row],[Drug Name4]],'Data Options'!$R$1:$S$100,2,FALSE), " ")</f>
        <v xml:space="preserve"> </v>
      </c>
      <c r="AI177" s="32"/>
      <c r="AJ177" s="32"/>
      <c r="AK177" s="53"/>
      <c r="AL177" s="21" t="str">
        <f>IFERROR(VLOOKUP(October[[#This Row],[Drug Name5]],'Data Options'!$R$1:$S$100,2,FALSE), " ")</f>
        <v xml:space="preserve"> </v>
      </c>
      <c r="AM177" s="32"/>
      <c r="AN177" s="32"/>
      <c r="AO177" s="53"/>
      <c r="AP177" s="21" t="str">
        <f>IFERROR(VLOOKUP(October[[#This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21" t="str">
        <f>IFERROR(VLOOKUP(October[[#This Row],[Drug Name7]],'Data Options'!$R$1:$S$100,2,FALSE), " ")</f>
        <v xml:space="preserve"> </v>
      </c>
      <c r="AZ177" s="32"/>
      <c r="BA177" s="32"/>
      <c r="BB177" s="53"/>
      <c r="BC177" s="21" t="str">
        <f>IFERROR(VLOOKUP(October[[#This Row],[Drug Name8]],'Data Options'!$R$1:$S$100,2,FALSE), " ")</f>
        <v xml:space="preserve"> </v>
      </c>
      <c r="BD177" s="32"/>
      <c r="BE177" s="32"/>
      <c r="BF177" s="53"/>
      <c r="BG177" s="21" t="str">
        <f>IFERROR(VLOOKUP(October[[#This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21" t="str">
        <f>IFERROR(VLOOKUP(October[[#This Row],[Drug Name]],'Data Options'!$R$1:$S$100,2,FALSE), " ")</f>
        <v xml:space="preserve"> </v>
      </c>
      <c r="R178" s="32"/>
      <c r="S178" s="32"/>
      <c r="T178" s="53"/>
      <c r="U178" s="21" t="str">
        <f>IFERROR(VLOOKUP(October[[#This Row],[Drug Name2]],'Data Options'!$R$1:$S$100,2,FALSE), " ")</f>
        <v xml:space="preserve"> </v>
      </c>
      <c r="V178" s="32"/>
      <c r="W178" s="32"/>
      <c r="X178" s="53"/>
      <c r="Y178" s="21" t="str">
        <f>IFERROR(VLOOKUP(October[[#This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21" t="str">
        <f>IFERROR(VLOOKUP(October[[#This Row],[Drug Name4]],'Data Options'!$R$1:$S$100,2,FALSE), " ")</f>
        <v xml:space="preserve"> </v>
      </c>
      <c r="AI178" s="32"/>
      <c r="AJ178" s="32"/>
      <c r="AK178" s="53"/>
      <c r="AL178" s="21" t="str">
        <f>IFERROR(VLOOKUP(October[[#This Row],[Drug Name5]],'Data Options'!$R$1:$S$100,2,FALSE), " ")</f>
        <v xml:space="preserve"> </v>
      </c>
      <c r="AM178" s="32"/>
      <c r="AN178" s="32"/>
      <c r="AO178" s="53"/>
      <c r="AP178" s="21" t="str">
        <f>IFERROR(VLOOKUP(October[[#This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21" t="str">
        <f>IFERROR(VLOOKUP(October[[#This Row],[Drug Name7]],'Data Options'!$R$1:$S$100,2,FALSE), " ")</f>
        <v xml:space="preserve"> </v>
      </c>
      <c r="AZ178" s="32"/>
      <c r="BA178" s="32"/>
      <c r="BB178" s="53"/>
      <c r="BC178" s="21" t="str">
        <f>IFERROR(VLOOKUP(October[[#This Row],[Drug Name8]],'Data Options'!$R$1:$S$100,2,FALSE), " ")</f>
        <v xml:space="preserve"> </v>
      </c>
      <c r="BD178" s="32"/>
      <c r="BE178" s="32"/>
      <c r="BF178" s="53"/>
      <c r="BG178" s="21" t="str">
        <f>IFERROR(VLOOKUP(October[[#This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21" t="str">
        <f>IFERROR(VLOOKUP(October[[#This Row],[Drug Name]],'Data Options'!$R$1:$S$100,2,FALSE), " ")</f>
        <v xml:space="preserve"> </v>
      </c>
      <c r="R179" s="32"/>
      <c r="S179" s="32"/>
      <c r="T179" s="53"/>
      <c r="U179" s="21" t="str">
        <f>IFERROR(VLOOKUP(October[[#This Row],[Drug Name2]],'Data Options'!$R$1:$S$100,2,FALSE), " ")</f>
        <v xml:space="preserve"> </v>
      </c>
      <c r="V179" s="32"/>
      <c r="W179" s="32"/>
      <c r="X179" s="53"/>
      <c r="Y179" s="21" t="str">
        <f>IFERROR(VLOOKUP(October[[#This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21" t="str">
        <f>IFERROR(VLOOKUP(October[[#This Row],[Drug Name4]],'Data Options'!$R$1:$S$100,2,FALSE), " ")</f>
        <v xml:space="preserve"> </v>
      </c>
      <c r="AI179" s="32"/>
      <c r="AJ179" s="32"/>
      <c r="AK179" s="53"/>
      <c r="AL179" s="21" t="str">
        <f>IFERROR(VLOOKUP(October[[#This Row],[Drug Name5]],'Data Options'!$R$1:$S$100,2,FALSE), " ")</f>
        <v xml:space="preserve"> </v>
      </c>
      <c r="AM179" s="32"/>
      <c r="AN179" s="32"/>
      <c r="AO179" s="53"/>
      <c r="AP179" s="21" t="str">
        <f>IFERROR(VLOOKUP(October[[#This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21" t="str">
        <f>IFERROR(VLOOKUP(October[[#This Row],[Drug Name7]],'Data Options'!$R$1:$S$100,2,FALSE), " ")</f>
        <v xml:space="preserve"> </v>
      </c>
      <c r="AZ179" s="32"/>
      <c r="BA179" s="32"/>
      <c r="BB179" s="53"/>
      <c r="BC179" s="21" t="str">
        <f>IFERROR(VLOOKUP(October[[#This Row],[Drug Name8]],'Data Options'!$R$1:$S$100,2,FALSE), " ")</f>
        <v xml:space="preserve"> </v>
      </c>
      <c r="BD179" s="32"/>
      <c r="BE179" s="32"/>
      <c r="BF179" s="53"/>
      <c r="BG179" s="21" t="str">
        <f>IFERROR(VLOOKUP(October[[#This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21" t="str">
        <f>IFERROR(VLOOKUP(October[[#This Row],[Drug Name]],'Data Options'!$R$1:$S$100,2,FALSE), " ")</f>
        <v xml:space="preserve"> </v>
      </c>
      <c r="R180" s="32"/>
      <c r="S180" s="32"/>
      <c r="T180" s="53"/>
      <c r="U180" s="21" t="str">
        <f>IFERROR(VLOOKUP(October[[#This Row],[Drug Name2]],'Data Options'!$R$1:$S$100,2,FALSE), " ")</f>
        <v xml:space="preserve"> </v>
      </c>
      <c r="V180" s="32"/>
      <c r="W180" s="32"/>
      <c r="X180" s="53"/>
      <c r="Y180" s="21" t="str">
        <f>IFERROR(VLOOKUP(October[[#This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21" t="str">
        <f>IFERROR(VLOOKUP(October[[#This Row],[Drug Name4]],'Data Options'!$R$1:$S$100,2,FALSE), " ")</f>
        <v xml:space="preserve"> </v>
      </c>
      <c r="AI180" s="32"/>
      <c r="AJ180" s="32"/>
      <c r="AK180" s="53"/>
      <c r="AL180" s="21" t="str">
        <f>IFERROR(VLOOKUP(October[[#This Row],[Drug Name5]],'Data Options'!$R$1:$S$100,2,FALSE), " ")</f>
        <v xml:space="preserve"> </v>
      </c>
      <c r="AM180" s="32"/>
      <c r="AN180" s="32"/>
      <c r="AO180" s="53"/>
      <c r="AP180" s="21" t="str">
        <f>IFERROR(VLOOKUP(October[[#This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21" t="str">
        <f>IFERROR(VLOOKUP(October[[#This Row],[Drug Name7]],'Data Options'!$R$1:$S$100,2,FALSE), " ")</f>
        <v xml:space="preserve"> </v>
      </c>
      <c r="AZ180" s="32"/>
      <c r="BA180" s="32"/>
      <c r="BB180" s="53"/>
      <c r="BC180" s="21" t="str">
        <f>IFERROR(VLOOKUP(October[[#This Row],[Drug Name8]],'Data Options'!$R$1:$S$100,2,FALSE), " ")</f>
        <v xml:space="preserve"> </v>
      </c>
      <c r="BD180" s="32"/>
      <c r="BE180" s="32"/>
      <c r="BF180" s="53"/>
      <c r="BG180" s="21" t="str">
        <f>IFERROR(VLOOKUP(October[[#This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21" t="str">
        <f>IFERROR(VLOOKUP(October[[#This Row],[Drug Name]],'Data Options'!$R$1:$S$100,2,FALSE), " ")</f>
        <v xml:space="preserve"> </v>
      </c>
      <c r="R181" s="32"/>
      <c r="S181" s="32"/>
      <c r="T181" s="53"/>
      <c r="U181" s="21" t="str">
        <f>IFERROR(VLOOKUP(October[[#This Row],[Drug Name2]],'Data Options'!$R$1:$S$100,2,FALSE), " ")</f>
        <v xml:space="preserve"> </v>
      </c>
      <c r="V181" s="32"/>
      <c r="W181" s="32"/>
      <c r="X181" s="53"/>
      <c r="Y181" s="21" t="str">
        <f>IFERROR(VLOOKUP(October[[#This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21" t="str">
        <f>IFERROR(VLOOKUP(October[[#This Row],[Drug Name4]],'Data Options'!$R$1:$S$100,2,FALSE), " ")</f>
        <v xml:space="preserve"> </v>
      </c>
      <c r="AI181" s="32"/>
      <c r="AJ181" s="32"/>
      <c r="AK181" s="53"/>
      <c r="AL181" s="21" t="str">
        <f>IFERROR(VLOOKUP(October[[#This Row],[Drug Name5]],'Data Options'!$R$1:$S$100,2,FALSE), " ")</f>
        <v xml:space="preserve"> </v>
      </c>
      <c r="AM181" s="32"/>
      <c r="AN181" s="32"/>
      <c r="AO181" s="53"/>
      <c r="AP181" s="21" t="str">
        <f>IFERROR(VLOOKUP(October[[#This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21" t="str">
        <f>IFERROR(VLOOKUP(October[[#This Row],[Drug Name7]],'Data Options'!$R$1:$S$100,2,FALSE), " ")</f>
        <v xml:space="preserve"> </v>
      </c>
      <c r="AZ181" s="32"/>
      <c r="BA181" s="32"/>
      <c r="BB181" s="53"/>
      <c r="BC181" s="21" t="str">
        <f>IFERROR(VLOOKUP(October[[#This Row],[Drug Name8]],'Data Options'!$R$1:$S$100,2,FALSE), " ")</f>
        <v xml:space="preserve"> </v>
      </c>
      <c r="BD181" s="32"/>
      <c r="BE181" s="32"/>
      <c r="BF181" s="53"/>
      <c r="BG181" s="21" t="str">
        <f>IFERROR(VLOOKUP(October[[#This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21" t="str">
        <f>IFERROR(VLOOKUP(October[[#This Row],[Drug Name]],'Data Options'!$R$1:$S$100,2,FALSE), " ")</f>
        <v xml:space="preserve"> </v>
      </c>
      <c r="R182" s="32"/>
      <c r="S182" s="32"/>
      <c r="T182" s="53"/>
      <c r="U182" s="21" t="str">
        <f>IFERROR(VLOOKUP(October[[#This Row],[Drug Name2]],'Data Options'!$R$1:$S$100,2,FALSE), " ")</f>
        <v xml:space="preserve"> </v>
      </c>
      <c r="V182" s="32"/>
      <c r="W182" s="32"/>
      <c r="X182" s="53"/>
      <c r="Y182" s="21" t="str">
        <f>IFERROR(VLOOKUP(October[[#This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21" t="str">
        <f>IFERROR(VLOOKUP(October[[#This Row],[Drug Name4]],'Data Options'!$R$1:$S$100,2,FALSE), " ")</f>
        <v xml:space="preserve"> </v>
      </c>
      <c r="AI182" s="32"/>
      <c r="AJ182" s="32"/>
      <c r="AK182" s="53"/>
      <c r="AL182" s="21" t="str">
        <f>IFERROR(VLOOKUP(October[[#This Row],[Drug Name5]],'Data Options'!$R$1:$S$100,2,FALSE), " ")</f>
        <v xml:space="preserve"> </v>
      </c>
      <c r="AM182" s="32"/>
      <c r="AN182" s="32"/>
      <c r="AO182" s="53"/>
      <c r="AP182" s="21" t="str">
        <f>IFERROR(VLOOKUP(October[[#This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21" t="str">
        <f>IFERROR(VLOOKUP(October[[#This Row],[Drug Name7]],'Data Options'!$R$1:$S$100,2,FALSE), " ")</f>
        <v xml:space="preserve"> </v>
      </c>
      <c r="AZ182" s="32"/>
      <c r="BA182" s="32"/>
      <c r="BB182" s="53"/>
      <c r="BC182" s="21" t="str">
        <f>IFERROR(VLOOKUP(October[[#This Row],[Drug Name8]],'Data Options'!$R$1:$S$100,2,FALSE), " ")</f>
        <v xml:space="preserve"> </v>
      </c>
      <c r="BD182" s="32"/>
      <c r="BE182" s="32"/>
      <c r="BF182" s="53"/>
      <c r="BG182" s="21" t="str">
        <f>IFERROR(VLOOKUP(October[[#This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21" t="str">
        <f>IFERROR(VLOOKUP(October[[#This Row],[Drug Name]],'Data Options'!$R$1:$S$100,2,FALSE), " ")</f>
        <v xml:space="preserve"> </v>
      </c>
      <c r="R183" s="32"/>
      <c r="S183" s="32"/>
      <c r="T183" s="53"/>
      <c r="U183" s="21" t="str">
        <f>IFERROR(VLOOKUP(October[[#This Row],[Drug Name2]],'Data Options'!$R$1:$S$100,2,FALSE), " ")</f>
        <v xml:space="preserve"> </v>
      </c>
      <c r="V183" s="32"/>
      <c r="W183" s="32"/>
      <c r="X183" s="53"/>
      <c r="Y183" s="21" t="str">
        <f>IFERROR(VLOOKUP(October[[#This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21" t="str">
        <f>IFERROR(VLOOKUP(October[[#This Row],[Drug Name4]],'Data Options'!$R$1:$S$100,2,FALSE), " ")</f>
        <v xml:space="preserve"> </v>
      </c>
      <c r="AI183" s="32"/>
      <c r="AJ183" s="32"/>
      <c r="AK183" s="53"/>
      <c r="AL183" s="21" t="str">
        <f>IFERROR(VLOOKUP(October[[#This Row],[Drug Name5]],'Data Options'!$R$1:$S$100,2,FALSE), " ")</f>
        <v xml:space="preserve"> </v>
      </c>
      <c r="AM183" s="32"/>
      <c r="AN183" s="32"/>
      <c r="AO183" s="53"/>
      <c r="AP183" s="21" t="str">
        <f>IFERROR(VLOOKUP(October[[#This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21" t="str">
        <f>IFERROR(VLOOKUP(October[[#This Row],[Drug Name7]],'Data Options'!$R$1:$S$100,2,FALSE), " ")</f>
        <v xml:space="preserve"> </v>
      </c>
      <c r="AZ183" s="32"/>
      <c r="BA183" s="32"/>
      <c r="BB183" s="53"/>
      <c r="BC183" s="21" t="str">
        <f>IFERROR(VLOOKUP(October[[#This Row],[Drug Name8]],'Data Options'!$R$1:$S$100,2,FALSE), " ")</f>
        <v xml:space="preserve"> </v>
      </c>
      <c r="BD183" s="32"/>
      <c r="BE183" s="32"/>
      <c r="BF183" s="53"/>
      <c r="BG183" s="21" t="str">
        <f>IFERROR(VLOOKUP(October[[#This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21" t="str">
        <f>IFERROR(VLOOKUP(October[[#This Row],[Drug Name]],'Data Options'!$R$1:$S$100,2,FALSE), " ")</f>
        <v xml:space="preserve"> </v>
      </c>
      <c r="R184" s="32"/>
      <c r="S184" s="32"/>
      <c r="T184" s="53"/>
      <c r="U184" s="21" t="str">
        <f>IFERROR(VLOOKUP(October[[#This Row],[Drug Name2]],'Data Options'!$R$1:$S$100,2,FALSE), " ")</f>
        <v xml:space="preserve"> </v>
      </c>
      <c r="V184" s="32"/>
      <c r="W184" s="32"/>
      <c r="X184" s="53"/>
      <c r="Y184" s="21" t="str">
        <f>IFERROR(VLOOKUP(October[[#This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21" t="str">
        <f>IFERROR(VLOOKUP(October[[#This Row],[Drug Name4]],'Data Options'!$R$1:$S$100,2,FALSE), " ")</f>
        <v xml:space="preserve"> </v>
      </c>
      <c r="AI184" s="32"/>
      <c r="AJ184" s="32"/>
      <c r="AK184" s="53"/>
      <c r="AL184" s="21" t="str">
        <f>IFERROR(VLOOKUP(October[[#This Row],[Drug Name5]],'Data Options'!$R$1:$S$100,2,FALSE), " ")</f>
        <v xml:space="preserve"> </v>
      </c>
      <c r="AM184" s="32"/>
      <c r="AN184" s="32"/>
      <c r="AO184" s="53"/>
      <c r="AP184" s="21" t="str">
        <f>IFERROR(VLOOKUP(October[[#This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21" t="str">
        <f>IFERROR(VLOOKUP(October[[#This Row],[Drug Name7]],'Data Options'!$R$1:$S$100,2,FALSE), " ")</f>
        <v xml:space="preserve"> </v>
      </c>
      <c r="AZ184" s="32"/>
      <c r="BA184" s="32"/>
      <c r="BB184" s="53"/>
      <c r="BC184" s="21" t="str">
        <f>IFERROR(VLOOKUP(October[[#This Row],[Drug Name8]],'Data Options'!$R$1:$S$100,2,FALSE), " ")</f>
        <v xml:space="preserve"> </v>
      </c>
      <c r="BD184" s="32"/>
      <c r="BE184" s="32"/>
      <c r="BF184" s="53"/>
      <c r="BG184" s="21" t="str">
        <f>IFERROR(VLOOKUP(October[[#This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21" t="str">
        <f>IFERROR(VLOOKUP(October[[#This Row],[Drug Name]],'Data Options'!$R$1:$S$100,2,FALSE), " ")</f>
        <v xml:space="preserve"> </v>
      </c>
      <c r="R185" s="32"/>
      <c r="S185" s="32"/>
      <c r="T185" s="53"/>
      <c r="U185" s="21" t="str">
        <f>IFERROR(VLOOKUP(October[[#This Row],[Drug Name2]],'Data Options'!$R$1:$S$100,2,FALSE), " ")</f>
        <v xml:space="preserve"> </v>
      </c>
      <c r="V185" s="32"/>
      <c r="W185" s="32"/>
      <c r="X185" s="53"/>
      <c r="Y185" s="21" t="str">
        <f>IFERROR(VLOOKUP(October[[#This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21" t="str">
        <f>IFERROR(VLOOKUP(October[[#This Row],[Drug Name4]],'Data Options'!$R$1:$S$100,2,FALSE), " ")</f>
        <v xml:space="preserve"> </v>
      </c>
      <c r="AI185" s="32"/>
      <c r="AJ185" s="32"/>
      <c r="AK185" s="53"/>
      <c r="AL185" s="21" t="str">
        <f>IFERROR(VLOOKUP(October[[#This Row],[Drug Name5]],'Data Options'!$R$1:$S$100,2,FALSE), " ")</f>
        <v xml:space="preserve"> </v>
      </c>
      <c r="AM185" s="32"/>
      <c r="AN185" s="32"/>
      <c r="AO185" s="53"/>
      <c r="AP185" s="21" t="str">
        <f>IFERROR(VLOOKUP(October[[#This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21" t="str">
        <f>IFERROR(VLOOKUP(October[[#This Row],[Drug Name7]],'Data Options'!$R$1:$S$100,2,FALSE), " ")</f>
        <v xml:space="preserve"> </v>
      </c>
      <c r="AZ185" s="32"/>
      <c r="BA185" s="32"/>
      <c r="BB185" s="53"/>
      <c r="BC185" s="21" t="str">
        <f>IFERROR(VLOOKUP(October[[#This Row],[Drug Name8]],'Data Options'!$R$1:$S$100,2,FALSE), " ")</f>
        <v xml:space="preserve"> </v>
      </c>
      <c r="BD185" s="32"/>
      <c r="BE185" s="32"/>
      <c r="BF185" s="53"/>
      <c r="BG185" s="21" t="str">
        <f>IFERROR(VLOOKUP(October[[#This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21" t="str">
        <f>IFERROR(VLOOKUP(October[[#This Row],[Drug Name]],'Data Options'!$R$1:$S$100,2,FALSE), " ")</f>
        <v xml:space="preserve"> </v>
      </c>
      <c r="R186" s="32"/>
      <c r="S186" s="32"/>
      <c r="T186" s="53"/>
      <c r="U186" s="21" t="str">
        <f>IFERROR(VLOOKUP(October[[#This Row],[Drug Name2]],'Data Options'!$R$1:$S$100,2,FALSE), " ")</f>
        <v xml:space="preserve"> </v>
      </c>
      <c r="V186" s="32"/>
      <c r="W186" s="32"/>
      <c r="X186" s="53"/>
      <c r="Y186" s="21" t="str">
        <f>IFERROR(VLOOKUP(October[[#This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21" t="str">
        <f>IFERROR(VLOOKUP(October[[#This Row],[Drug Name4]],'Data Options'!$R$1:$S$100,2,FALSE), " ")</f>
        <v xml:space="preserve"> </v>
      </c>
      <c r="AI186" s="32"/>
      <c r="AJ186" s="32"/>
      <c r="AK186" s="53"/>
      <c r="AL186" s="21" t="str">
        <f>IFERROR(VLOOKUP(October[[#This Row],[Drug Name5]],'Data Options'!$R$1:$S$100,2,FALSE), " ")</f>
        <v xml:space="preserve"> </v>
      </c>
      <c r="AM186" s="32"/>
      <c r="AN186" s="32"/>
      <c r="AO186" s="53"/>
      <c r="AP186" s="21" t="str">
        <f>IFERROR(VLOOKUP(October[[#This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21" t="str">
        <f>IFERROR(VLOOKUP(October[[#This Row],[Drug Name7]],'Data Options'!$R$1:$S$100,2,FALSE), " ")</f>
        <v xml:space="preserve"> </v>
      </c>
      <c r="AZ186" s="32"/>
      <c r="BA186" s="32"/>
      <c r="BB186" s="53"/>
      <c r="BC186" s="21" t="str">
        <f>IFERROR(VLOOKUP(October[[#This Row],[Drug Name8]],'Data Options'!$R$1:$S$100,2,FALSE), " ")</f>
        <v xml:space="preserve"> </v>
      </c>
      <c r="BD186" s="32"/>
      <c r="BE186" s="32"/>
      <c r="BF186" s="53"/>
      <c r="BG186" s="21" t="str">
        <f>IFERROR(VLOOKUP(October[[#This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21" t="str">
        <f>IFERROR(VLOOKUP(October[[#This Row],[Drug Name]],'Data Options'!$R$1:$S$100,2,FALSE), " ")</f>
        <v xml:space="preserve"> </v>
      </c>
      <c r="R187" s="32"/>
      <c r="S187" s="32"/>
      <c r="T187" s="53"/>
      <c r="U187" s="21" t="str">
        <f>IFERROR(VLOOKUP(October[[#This Row],[Drug Name2]],'Data Options'!$R$1:$S$100,2,FALSE), " ")</f>
        <v xml:space="preserve"> </v>
      </c>
      <c r="V187" s="32"/>
      <c r="W187" s="32"/>
      <c r="X187" s="53"/>
      <c r="Y187" s="21" t="str">
        <f>IFERROR(VLOOKUP(October[[#This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21" t="str">
        <f>IFERROR(VLOOKUP(October[[#This Row],[Drug Name4]],'Data Options'!$R$1:$S$100,2,FALSE), " ")</f>
        <v xml:space="preserve"> </v>
      </c>
      <c r="AI187" s="32"/>
      <c r="AJ187" s="32"/>
      <c r="AK187" s="53"/>
      <c r="AL187" s="21" t="str">
        <f>IFERROR(VLOOKUP(October[[#This Row],[Drug Name5]],'Data Options'!$R$1:$S$100,2,FALSE), " ")</f>
        <v xml:space="preserve"> </v>
      </c>
      <c r="AM187" s="32"/>
      <c r="AN187" s="32"/>
      <c r="AO187" s="53"/>
      <c r="AP187" s="21" t="str">
        <f>IFERROR(VLOOKUP(October[[#This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21" t="str">
        <f>IFERROR(VLOOKUP(October[[#This Row],[Drug Name7]],'Data Options'!$R$1:$S$100,2,FALSE), " ")</f>
        <v xml:space="preserve"> </v>
      </c>
      <c r="AZ187" s="32"/>
      <c r="BA187" s="32"/>
      <c r="BB187" s="53"/>
      <c r="BC187" s="21" t="str">
        <f>IFERROR(VLOOKUP(October[[#This Row],[Drug Name8]],'Data Options'!$R$1:$S$100,2,FALSE), " ")</f>
        <v xml:space="preserve"> </v>
      </c>
      <c r="BD187" s="32"/>
      <c r="BE187" s="32"/>
      <c r="BF187" s="53"/>
      <c r="BG187" s="21" t="str">
        <f>IFERROR(VLOOKUP(October[[#This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21" t="str">
        <f>IFERROR(VLOOKUP(October[[#This Row],[Drug Name]],'Data Options'!$R$1:$S$100,2,FALSE), " ")</f>
        <v xml:space="preserve"> </v>
      </c>
      <c r="R188" s="32"/>
      <c r="S188" s="32"/>
      <c r="T188" s="53"/>
      <c r="U188" s="21" t="str">
        <f>IFERROR(VLOOKUP(October[[#This Row],[Drug Name2]],'Data Options'!$R$1:$S$100,2,FALSE), " ")</f>
        <v xml:space="preserve"> </v>
      </c>
      <c r="V188" s="32"/>
      <c r="W188" s="32"/>
      <c r="X188" s="53"/>
      <c r="Y188" s="21" t="str">
        <f>IFERROR(VLOOKUP(October[[#This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21" t="str">
        <f>IFERROR(VLOOKUP(October[[#This Row],[Drug Name4]],'Data Options'!$R$1:$S$100,2,FALSE), " ")</f>
        <v xml:space="preserve"> </v>
      </c>
      <c r="AI188" s="32"/>
      <c r="AJ188" s="32"/>
      <c r="AK188" s="53"/>
      <c r="AL188" s="21" t="str">
        <f>IFERROR(VLOOKUP(October[[#This Row],[Drug Name5]],'Data Options'!$R$1:$S$100,2,FALSE), " ")</f>
        <v xml:space="preserve"> </v>
      </c>
      <c r="AM188" s="32"/>
      <c r="AN188" s="32"/>
      <c r="AO188" s="53"/>
      <c r="AP188" s="21" t="str">
        <f>IFERROR(VLOOKUP(October[[#This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21" t="str">
        <f>IFERROR(VLOOKUP(October[[#This Row],[Drug Name7]],'Data Options'!$R$1:$S$100,2,FALSE), " ")</f>
        <v xml:space="preserve"> </v>
      </c>
      <c r="AZ188" s="32"/>
      <c r="BA188" s="32"/>
      <c r="BB188" s="53"/>
      <c r="BC188" s="21" t="str">
        <f>IFERROR(VLOOKUP(October[[#This Row],[Drug Name8]],'Data Options'!$R$1:$S$100,2,FALSE), " ")</f>
        <v xml:space="preserve"> </v>
      </c>
      <c r="BD188" s="32"/>
      <c r="BE188" s="32"/>
      <c r="BF188" s="53"/>
      <c r="BG188" s="21" t="str">
        <f>IFERROR(VLOOKUP(October[[#This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21" t="str">
        <f>IFERROR(VLOOKUP(October[[#This Row],[Drug Name]],'Data Options'!$R$1:$S$100,2,FALSE), " ")</f>
        <v xml:space="preserve"> </v>
      </c>
      <c r="R189" s="32"/>
      <c r="S189" s="32"/>
      <c r="T189" s="53"/>
      <c r="U189" s="21" t="str">
        <f>IFERROR(VLOOKUP(October[[#This Row],[Drug Name2]],'Data Options'!$R$1:$S$100,2,FALSE), " ")</f>
        <v xml:space="preserve"> </v>
      </c>
      <c r="V189" s="32"/>
      <c r="W189" s="32"/>
      <c r="X189" s="53"/>
      <c r="Y189" s="21" t="str">
        <f>IFERROR(VLOOKUP(October[[#This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21" t="str">
        <f>IFERROR(VLOOKUP(October[[#This Row],[Drug Name4]],'Data Options'!$R$1:$S$100,2,FALSE), " ")</f>
        <v xml:space="preserve"> </v>
      </c>
      <c r="AI189" s="32"/>
      <c r="AJ189" s="32"/>
      <c r="AK189" s="53"/>
      <c r="AL189" s="21" t="str">
        <f>IFERROR(VLOOKUP(October[[#This Row],[Drug Name5]],'Data Options'!$R$1:$S$100,2,FALSE), " ")</f>
        <v xml:space="preserve"> </v>
      </c>
      <c r="AM189" s="32"/>
      <c r="AN189" s="32"/>
      <c r="AO189" s="53"/>
      <c r="AP189" s="21" t="str">
        <f>IFERROR(VLOOKUP(October[[#This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21" t="str">
        <f>IFERROR(VLOOKUP(October[[#This Row],[Drug Name7]],'Data Options'!$R$1:$S$100,2,FALSE), " ")</f>
        <v xml:space="preserve"> </v>
      </c>
      <c r="AZ189" s="32"/>
      <c r="BA189" s="32"/>
      <c r="BB189" s="53"/>
      <c r="BC189" s="21" t="str">
        <f>IFERROR(VLOOKUP(October[[#This Row],[Drug Name8]],'Data Options'!$R$1:$S$100,2,FALSE), " ")</f>
        <v xml:space="preserve"> </v>
      </c>
      <c r="BD189" s="32"/>
      <c r="BE189" s="32"/>
      <c r="BF189" s="53"/>
      <c r="BG189" s="21" t="str">
        <f>IFERROR(VLOOKUP(October[[#This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21" t="str">
        <f>IFERROR(VLOOKUP(October[[#This Row],[Drug Name]],'Data Options'!$R$1:$S$100,2,FALSE), " ")</f>
        <v xml:space="preserve"> </v>
      </c>
      <c r="R190" s="32"/>
      <c r="S190" s="32"/>
      <c r="T190" s="53"/>
      <c r="U190" s="21" t="str">
        <f>IFERROR(VLOOKUP(October[[#This Row],[Drug Name2]],'Data Options'!$R$1:$S$100,2,FALSE), " ")</f>
        <v xml:space="preserve"> </v>
      </c>
      <c r="V190" s="32"/>
      <c r="W190" s="32"/>
      <c r="X190" s="53"/>
      <c r="Y190" s="21" t="str">
        <f>IFERROR(VLOOKUP(October[[#This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21" t="str">
        <f>IFERROR(VLOOKUP(October[[#This Row],[Drug Name4]],'Data Options'!$R$1:$S$100,2,FALSE), " ")</f>
        <v xml:space="preserve"> </v>
      </c>
      <c r="AI190" s="32"/>
      <c r="AJ190" s="32"/>
      <c r="AK190" s="53"/>
      <c r="AL190" s="21" t="str">
        <f>IFERROR(VLOOKUP(October[[#This Row],[Drug Name5]],'Data Options'!$R$1:$S$100,2,FALSE), " ")</f>
        <v xml:space="preserve"> </v>
      </c>
      <c r="AM190" s="32"/>
      <c r="AN190" s="32"/>
      <c r="AO190" s="53"/>
      <c r="AP190" s="21" t="str">
        <f>IFERROR(VLOOKUP(October[[#This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21" t="str">
        <f>IFERROR(VLOOKUP(October[[#This Row],[Drug Name7]],'Data Options'!$R$1:$S$100,2,FALSE), " ")</f>
        <v xml:space="preserve"> </v>
      </c>
      <c r="AZ190" s="32"/>
      <c r="BA190" s="32"/>
      <c r="BB190" s="53"/>
      <c r="BC190" s="21" t="str">
        <f>IFERROR(VLOOKUP(October[[#This Row],[Drug Name8]],'Data Options'!$R$1:$S$100,2,FALSE), " ")</f>
        <v xml:space="preserve"> </v>
      </c>
      <c r="BD190" s="32"/>
      <c r="BE190" s="32"/>
      <c r="BF190" s="53"/>
      <c r="BG190" s="21" t="str">
        <f>IFERROR(VLOOKUP(October[[#This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21" t="str">
        <f>IFERROR(VLOOKUP(October[[#This Row],[Drug Name]],'Data Options'!$R$1:$S$100,2,FALSE), " ")</f>
        <v xml:space="preserve"> </v>
      </c>
      <c r="R191" s="32"/>
      <c r="S191" s="32"/>
      <c r="T191" s="53"/>
      <c r="U191" s="21" t="str">
        <f>IFERROR(VLOOKUP(October[[#This Row],[Drug Name2]],'Data Options'!$R$1:$S$100,2,FALSE), " ")</f>
        <v xml:space="preserve"> </v>
      </c>
      <c r="V191" s="32"/>
      <c r="W191" s="32"/>
      <c r="X191" s="53"/>
      <c r="Y191" s="21" t="str">
        <f>IFERROR(VLOOKUP(October[[#This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21" t="str">
        <f>IFERROR(VLOOKUP(October[[#This Row],[Drug Name4]],'Data Options'!$R$1:$S$100,2,FALSE), " ")</f>
        <v xml:space="preserve"> </v>
      </c>
      <c r="AI191" s="32"/>
      <c r="AJ191" s="32"/>
      <c r="AK191" s="53"/>
      <c r="AL191" s="21" t="str">
        <f>IFERROR(VLOOKUP(October[[#This Row],[Drug Name5]],'Data Options'!$R$1:$S$100,2,FALSE), " ")</f>
        <v xml:space="preserve"> </v>
      </c>
      <c r="AM191" s="32"/>
      <c r="AN191" s="32"/>
      <c r="AO191" s="53"/>
      <c r="AP191" s="21" t="str">
        <f>IFERROR(VLOOKUP(October[[#This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21" t="str">
        <f>IFERROR(VLOOKUP(October[[#This Row],[Drug Name7]],'Data Options'!$R$1:$S$100,2,FALSE), " ")</f>
        <v xml:space="preserve"> </v>
      </c>
      <c r="AZ191" s="32"/>
      <c r="BA191" s="32"/>
      <c r="BB191" s="53"/>
      <c r="BC191" s="21" t="str">
        <f>IFERROR(VLOOKUP(October[[#This Row],[Drug Name8]],'Data Options'!$R$1:$S$100,2,FALSE), " ")</f>
        <v xml:space="preserve"> </v>
      </c>
      <c r="BD191" s="32"/>
      <c r="BE191" s="32"/>
      <c r="BF191" s="53"/>
      <c r="BG191" s="21" t="str">
        <f>IFERROR(VLOOKUP(October[[#This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21" t="str">
        <f>IFERROR(VLOOKUP(October[[#This Row],[Drug Name]],'Data Options'!$R$1:$S$100,2,FALSE), " ")</f>
        <v xml:space="preserve"> </v>
      </c>
      <c r="R192" s="32"/>
      <c r="S192" s="32"/>
      <c r="T192" s="53"/>
      <c r="U192" s="21" t="str">
        <f>IFERROR(VLOOKUP(October[[#This Row],[Drug Name2]],'Data Options'!$R$1:$S$100,2,FALSE), " ")</f>
        <v xml:space="preserve"> </v>
      </c>
      <c r="V192" s="32"/>
      <c r="W192" s="32"/>
      <c r="X192" s="53"/>
      <c r="Y192" s="21" t="str">
        <f>IFERROR(VLOOKUP(October[[#This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21" t="str">
        <f>IFERROR(VLOOKUP(October[[#This Row],[Drug Name4]],'Data Options'!$R$1:$S$100,2,FALSE), " ")</f>
        <v xml:space="preserve"> </v>
      </c>
      <c r="AI192" s="32"/>
      <c r="AJ192" s="32"/>
      <c r="AK192" s="53"/>
      <c r="AL192" s="21" t="str">
        <f>IFERROR(VLOOKUP(October[[#This Row],[Drug Name5]],'Data Options'!$R$1:$S$100,2,FALSE), " ")</f>
        <v xml:space="preserve"> </v>
      </c>
      <c r="AM192" s="32"/>
      <c r="AN192" s="32"/>
      <c r="AO192" s="53"/>
      <c r="AP192" s="21" t="str">
        <f>IFERROR(VLOOKUP(October[[#This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21" t="str">
        <f>IFERROR(VLOOKUP(October[[#This Row],[Drug Name7]],'Data Options'!$R$1:$S$100,2,FALSE), " ")</f>
        <v xml:space="preserve"> </v>
      </c>
      <c r="AZ192" s="32"/>
      <c r="BA192" s="32"/>
      <c r="BB192" s="53"/>
      <c r="BC192" s="21" t="str">
        <f>IFERROR(VLOOKUP(October[[#This Row],[Drug Name8]],'Data Options'!$R$1:$S$100,2,FALSE), " ")</f>
        <v xml:space="preserve"> </v>
      </c>
      <c r="BD192" s="32"/>
      <c r="BE192" s="32"/>
      <c r="BF192" s="53"/>
      <c r="BG192" s="21" t="str">
        <f>IFERROR(VLOOKUP(October[[#This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21" t="str">
        <f>IFERROR(VLOOKUP(October[[#This Row],[Drug Name]],'Data Options'!$R$1:$S$100,2,FALSE), " ")</f>
        <v xml:space="preserve"> </v>
      </c>
      <c r="R193" s="32"/>
      <c r="S193" s="32"/>
      <c r="T193" s="53"/>
      <c r="U193" s="21" t="str">
        <f>IFERROR(VLOOKUP(October[[#This Row],[Drug Name2]],'Data Options'!$R$1:$S$100,2,FALSE), " ")</f>
        <v xml:space="preserve"> </v>
      </c>
      <c r="V193" s="32"/>
      <c r="W193" s="32"/>
      <c r="X193" s="53"/>
      <c r="Y193" s="21" t="str">
        <f>IFERROR(VLOOKUP(October[[#This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21" t="str">
        <f>IFERROR(VLOOKUP(October[[#This Row],[Drug Name4]],'Data Options'!$R$1:$S$100,2,FALSE), " ")</f>
        <v xml:space="preserve"> </v>
      </c>
      <c r="AI193" s="32"/>
      <c r="AJ193" s="32"/>
      <c r="AK193" s="53"/>
      <c r="AL193" s="21" t="str">
        <f>IFERROR(VLOOKUP(October[[#This Row],[Drug Name5]],'Data Options'!$R$1:$S$100,2,FALSE), " ")</f>
        <v xml:space="preserve"> </v>
      </c>
      <c r="AM193" s="32"/>
      <c r="AN193" s="32"/>
      <c r="AO193" s="53"/>
      <c r="AP193" s="21" t="str">
        <f>IFERROR(VLOOKUP(October[[#This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21" t="str">
        <f>IFERROR(VLOOKUP(October[[#This Row],[Drug Name7]],'Data Options'!$R$1:$S$100,2,FALSE), " ")</f>
        <v xml:space="preserve"> </v>
      </c>
      <c r="AZ193" s="32"/>
      <c r="BA193" s="32"/>
      <c r="BB193" s="53"/>
      <c r="BC193" s="21" t="str">
        <f>IFERROR(VLOOKUP(October[[#This Row],[Drug Name8]],'Data Options'!$R$1:$S$100,2,FALSE), " ")</f>
        <v xml:space="preserve"> </v>
      </c>
      <c r="BD193" s="32"/>
      <c r="BE193" s="32"/>
      <c r="BF193" s="53"/>
      <c r="BG193" s="21" t="str">
        <f>IFERROR(VLOOKUP(October[[#This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21" t="str">
        <f>IFERROR(VLOOKUP(October[[#This Row],[Drug Name]],'Data Options'!$R$1:$S$100,2,FALSE), " ")</f>
        <v xml:space="preserve"> </v>
      </c>
      <c r="R194" s="32"/>
      <c r="S194" s="32"/>
      <c r="T194" s="53"/>
      <c r="U194" s="21" t="str">
        <f>IFERROR(VLOOKUP(October[[#This Row],[Drug Name2]],'Data Options'!$R$1:$S$100,2,FALSE), " ")</f>
        <v xml:space="preserve"> </v>
      </c>
      <c r="V194" s="32"/>
      <c r="W194" s="32"/>
      <c r="X194" s="53"/>
      <c r="Y194" s="21" t="str">
        <f>IFERROR(VLOOKUP(October[[#This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21" t="str">
        <f>IFERROR(VLOOKUP(October[[#This Row],[Drug Name4]],'Data Options'!$R$1:$S$100,2,FALSE), " ")</f>
        <v xml:space="preserve"> </v>
      </c>
      <c r="AI194" s="32"/>
      <c r="AJ194" s="32"/>
      <c r="AK194" s="53"/>
      <c r="AL194" s="21" t="str">
        <f>IFERROR(VLOOKUP(October[[#This Row],[Drug Name5]],'Data Options'!$R$1:$S$100,2,FALSE), " ")</f>
        <v xml:space="preserve"> </v>
      </c>
      <c r="AM194" s="32"/>
      <c r="AN194" s="32"/>
      <c r="AO194" s="53"/>
      <c r="AP194" s="21" t="str">
        <f>IFERROR(VLOOKUP(October[[#This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21" t="str">
        <f>IFERROR(VLOOKUP(October[[#This Row],[Drug Name7]],'Data Options'!$R$1:$S$100,2,FALSE), " ")</f>
        <v xml:space="preserve"> </v>
      </c>
      <c r="AZ194" s="32"/>
      <c r="BA194" s="32"/>
      <c r="BB194" s="53"/>
      <c r="BC194" s="21" t="str">
        <f>IFERROR(VLOOKUP(October[[#This Row],[Drug Name8]],'Data Options'!$R$1:$S$100,2,FALSE), " ")</f>
        <v xml:space="preserve"> </v>
      </c>
      <c r="BD194" s="32"/>
      <c r="BE194" s="32"/>
      <c r="BF194" s="53"/>
      <c r="BG194" s="21" t="str">
        <f>IFERROR(VLOOKUP(October[[#This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21" t="str">
        <f>IFERROR(VLOOKUP(October[[#This Row],[Drug Name]],'Data Options'!$R$1:$S$100,2,FALSE), " ")</f>
        <v xml:space="preserve"> </v>
      </c>
      <c r="R195" s="32"/>
      <c r="S195" s="32"/>
      <c r="T195" s="53"/>
      <c r="U195" s="21" t="str">
        <f>IFERROR(VLOOKUP(October[[#This Row],[Drug Name2]],'Data Options'!$R$1:$S$100,2,FALSE), " ")</f>
        <v xml:space="preserve"> </v>
      </c>
      <c r="V195" s="32"/>
      <c r="W195" s="32"/>
      <c r="X195" s="53"/>
      <c r="Y195" s="21" t="str">
        <f>IFERROR(VLOOKUP(October[[#This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21" t="str">
        <f>IFERROR(VLOOKUP(October[[#This Row],[Drug Name4]],'Data Options'!$R$1:$S$100,2,FALSE), " ")</f>
        <v xml:space="preserve"> </v>
      </c>
      <c r="AI195" s="32"/>
      <c r="AJ195" s="32"/>
      <c r="AK195" s="53"/>
      <c r="AL195" s="21" t="str">
        <f>IFERROR(VLOOKUP(October[[#This Row],[Drug Name5]],'Data Options'!$R$1:$S$100,2,FALSE), " ")</f>
        <v xml:space="preserve"> </v>
      </c>
      <c r="AM195" s="32"/>
      <c r="AN195" s="32"/>
      <c r="AO195" s="53"/>
      <c r="AP195" s="21" t="str">
        <f>IFERROR(VLOOKUP(October[[#This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21" t="str">
        <f>IFERROR(VLOOKUP(October[[#This Row],[Drug Name7]],'Data Options'!$R$1:$S$100,2,FALSE), " ")</f>
        <v xml:space="preserve"> </v>
      </c>
      <c r="AZ195" s="32"/>
      <c r="BA195" s="32"/>
      <c r="BB195" s="53"/>
      <c r="BC195" s="21" t="str">
        <f>IFERROR(VLOOKUP(October[[#This Row],[Drug Name8]],'Data Options'!$R$1:$S$100,2,FALSE), " ")</f>
        <v xml:space="preserve"> </v>
      </c>
      <c r="BD195" s="32"/>
      <c r="BE195" s="32"/>
      <c r="BF195" s="53"/>
      <c r="BG195" s="21" t="str">
        <f>IFERROR(VLOOKUP(October[[#This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21" t="str">
        <f>IFERROR(VLOOKUP(October[[#This Row],[Drug Name]],'Data Options'!$R$1:$S$100,2,FALSE), " ")</f>
        <v xml:space="preserve"> </v>
      </c>
      <c r="R196" s="32"/>
      <c r="S196" s="32"/>
      <c r="T196" s="53"/>
      <c r="U196" s="21" t="str">
        <f>IFERROR(VLOOKUP(October[[#This Row],[Drug Name2]],'Data Options'!$R$1:$S$100,2,FALSE), " ")</f>
        <v xml:space="preserve"> </v>
      </c>
      <c r="V196" s="32"/>
      <c r="W196" s="32"/>
      <c r="X196" s="53"/>
      <c r="Y196" s="21" t="str">
        <f>IFERROR(VLOOKUP(October[[#This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21" t="str">
        <f>IFERROR(VLOOKUP(October[[#This Row],[Drug Name4]],'Data Options'!$R$1:$S$100,2,FALSE), " ")</f>
        <v xml:space="preserve"> </v>
      </c>
      <c r="AI196" s="32"/>
      <c r="AJ196" s="32"/>
      <c r="AK196" s="53"/>
      <c r="AL196" s="21" t="str">
        <f>IFERROR(VLOOKUP(October[[#This Row],[Drug Name5]],'Data Options'!$R$1:$S$100,2,FALSE), " ")</f>
        <v xml:space="preserve"> </v>
      </c>
      <c r="AM196" s="32"/>
      <c r="AN196" s="32"/>
      <c r="AO196" s="53"/>
      <c r="AP196" s="21" t="str">
        <f>IFERROR(VLOOKUP(October[[#This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21" t="str">
        <f>IFERROR(VLOOKUP(October[[#This Row],[Drug Name7]],'Data Options'!$R$1:$S$100,2,FALSE), " ")</f>
        <v xml:space="preserve"> </v>
      </c>
      <c r="AZ196" s="32"/>
      <c r="BA196" s="32"/>
      <c r="BB196" s="53"/>
      <c r="BC196" s="21" t="str">
        <f>IFERROR(VLOOKUP(October[[#This Row],[Drug Name8]],'Data Options'!$R$1:$S$100,2,FALSE), " ")</f>
        <v xml:space="preserve"> </v>
      </c>
      <c r="BD196" s="32"/>
      <c r="BE196" s="32"/>
      <c r="BF196" s="53"/>
      <c r="BG196" s="21" t="str">
        <f>IFERROR(VLOOKUP(October[[#This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21" t="str">
        <f>IFERROR(VLOOKUP(October[[#This Row],[Drug Name]],'Data Options'!$R$1:$S$100,2,FALSE), " ")</f>
        <v xml:space="preserve"> </v>
      </c>
      <c r="R197" s="32"/>
      <c r="S197" s="32"/>
      <c r="T197" s="53"/>
      <c r="U197" s="21" t="str">
        <f>IFERROR(VLOOKUP(October[[#This Row],[Drug Name2]],'Data Options'!$R$1:$S$100,2,FALSE), " ")</f>
        <v xml:space="preserve"> </v>
      </c>
      <c r="V197" s="32"/>
      <c r="W197" s="32"/>
      <c r="X197" s="53"/>
      <c r="Y197" s="21" t="str">
        <f>IFERROR(VLOOKUP(October[[#This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21" t="str">
        <f>IFERROR(VLOOKUP(October[[#This Row],[Drug Name4]],'Data Options'!$R$1:$S$100,2,FALSE), " ")</f>
        <v xml:space="preserve"> </v>
      </c>
      <c r="AI197" s="32"/>
      <c r="AJ197" s="32"/>
      <c r="AK197" s="53"/>
      <c r="AL197" s="21" t="str">
        <f>IFERROR(VLOOKUP(October[[#This Row],[Drug Name5]],'Data Options'!$R$1:$S$100,2,FALSE), " ")</f>
        <v xml:space="preserve"> </v>
      </c>
      <c r="AM197" s="32"/>
      <c r="AN197" s="32"/>
      <c r="AO197" s="53"/>
      <c r="AP197" s="21" t="str">
        <f>IFERROR(VLOOKUP(October[[#This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21" t="str">
        <f>IFERROR(VLOOKUP(October[[#This Row],[Drug Name7]],'Data Options'!$R$1:$S$100,2,FALSE), " ")</f>
        <v xml:space="preserve"> </v>
      </c>
      <c r="AZ197" s="32"/>
      <c r="BA197" s="32"/>
      <c r="BB197" s="53"/>
      <c r="BC197" s="21" t="str">
        <f>IFERROR(VLOOKUP(October[[#This Row],[Drug Name8]],'Data Options'!$R$1:$S$100,2,FALSE), " ")</f>
        <v xml:space="preserve"> </v>
      </c>
      <c r="BD197" s="32"/>
      <c r="BE197" s="32"/>
      <c r="BF197" s="53"/>
      <c r="BG197" s="21" t="str">
        <f>IFERROR(VLOOKUP(October[[#This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21" t="str">
        <f>IFERROR(VLOOKUP(October[[#This Row],[Drug Name]],'Data Options'!$R$1:$S$100,2,FALSE), " ")</f>
        <v xml:space="preserve"> </v>
      </c>
      <c r="R198" s="32"/>
      <c r="S198" s="32"/>
      <c r="T198" s="53"/>
      <c r="U198" s="21" t="str">
        <f>IFERROR(VLOOKUP(October[[#This Row],[Drug Name2]],'Data Options'!$R$1:$S$100,2,FALSE), " ")</f>
        <v xml:space="preserve"> </v>
      </c>
      <c r="V198" s="32"/>
      <c r="W198" s="32"/>
      <c r="X198" s="53"/>
      <c r="Y198" s="21" t="str">
        <f>IFERROR(VLOOKUP(October[[#This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21" t="str">
        <f>IFERROR(VLOOKUP(October[[#This Row],[Drug Name4]],'Data Options'!$R$1:$S$100,2,FALSE), " ")</f>
        <v xml:space="preserve"> </v>
      </c>
      <c r="AI198" s="32"/>
      <c r="AJ198" s="32"/>
      <c r="AK198" s="53"/>
      <c r="AL198" s="21" t="str">
        <f>IFERROR(VLOOKUP(October[[#This Row],[Drug Name5]],'Data Options'!$R$1:$S$100,2,FALSE), " ")</f>
        <v xml:space="preserve"> </v>
      </c>
      <c r="AM198" s="32"/>
      <c r="AN198" s="32"/>
      <c r="AO198" s="53"/>
      <c r="AP198" s="21" t="str">
        <f>IFERROR(VLOOKUP(October[[#This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21" t="str">
        <f>IFERROR(VLOOKUP(October[[#This Row],[Drug Name7]],'Data Options'!$R$1:$S$100,2,FALSE), " ")</f>
        <v xml:space="preserve"> </v>
      </c>
      <c r="AZ198" s="32"/>
      <c r="BA198" s="32"/>
      <c r="BB198" s="53"/>
      <c r="BC198" s="21" t="str">
        <f>IFERROR(VLOOKUP(October[[#This Row],[Drug Name8]],'Data Options'!$R$1:$S$100,2,FALSE), " ")</f>
        <v xml:space="preserve"> </v>
      </c>
      <c r="BD198" s="32"/>
      <c r="BE198" s="32"/>
      <c r="BF198" s="53"/>
      <c r="BG198" s="21" t="str">
        <f>IFERROR(VLOOKUP(October[[#This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21" t="str">
        <f>IFERROR(VLOOKUP(October[[#This Row],[Drug Name]],'Data Options'!$R$1:$S$100,2,FALSE), " ")</f>
        <v xml:space="preserve"> </v>
      </c>
      <c r="R199" s="32"/>
      <c r="S199" s="32"/>
      <c r="T199" s="53"/>
      <c r="U199" s="21" t="str">
        <f>IFERROR(VLOOKUP(October[[#This Row],[Drug Name2]],'Data Options'!$R$1:$S$100,2,FALSE), " ")</f>
        <v xml:space="preserve"> </v>
      </c>
      <c r="V199" s="32"/>
      <c r="W199" s="32"/>
      <c r="X199" s="53"/>
      <c r="Y199" s="21" t="str">
        <f>IFERROR(VLOOKUP(October[[#This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21" t="str">
        <f>IFERROR(VLOOKUP(October[[#This Row],[Drug Name4]],'Data Options'!$R$1:$S$100,2,FALSE), " ")</f>
        <v xml:space="preserve"> </v>
      </c>
      <c r="AI199" s="32"/>
      <c r="AJ199" s="32"/>
      <c r="AK199" s="53"/>
      <c r="AL199" s="21" t="str">
        <f>IFERROR(VLOOKUP(October[[#This Row],[Drug Name5]],'Data Options'!$R$1:$S$100,2,FALSE), " ")</f>
        <v xml:space="preserve"> </v>
      </c>
      <c r="AM199" s="32"/>
      <c r="AN199" s="32"/>
      <c r="AO199" s="53"/>
      <c r="AP199" s="21" t="str">
        <f>IFERROR(VLOOKUP(October[[#This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21" t="str">
        <f>IFERROR(VLOOKUP(October[[#This Row],[Drug Name7]],'Data Options'!$R$1:$S$100,2,FALSE), " ")</f>
        <v xml:space="preserve"> </v>
      </c>
      <c r="AZ199" s="32"/>
      <c r="BA199" s="32"/>
      <c r="BB199" s="53"/>
      <c r="BC199" s="21" t="str">
        <f>IFERROR(VLOOKUP(October[[#This Row],[Drug Name8]],'Data Options'!$R$1:$S$100,2,FALSE), " ")</f>
        <v xml:space="preserve"> </v>
      </c>
      <c r="BD199" s="32"/>
      <c r="BE199" s="32"/>
      <c r="BF199" s="53"/>
      <c r="BG199" s="21" t="str">
        <f>IFERROR(VLOOKUP(October[[#This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21" t="str">
        <f>IFERROR(VLOOKUP(October[[#This Row],[Drug Name]],'Data Options'!$R$1:$S$100,2,FALSE), " ")</f>
        <v xml:space="preserve"> </v>
      </c>
      <c r="R200" s="32"/>
      <c r="S200" s="32"/>
      <c r="T200" s="53"/>
      <c r="U200" s="21" t="str">
        <f>IFERROR(VLOOKUP(October[[#This Row],[Drug Name2]],'Data Options'!$R$1:$S$100,2,FALSE), " ")</f>
        <v xml:space="preserve"> </v>
      </c>
      <c r="V200" s="32"/>
      <c r="W200" s="32"/>
      <c r="X200" s="53"/>
      <c r="Y200" s="21" t="str">
        <f>IFERROR(VLOOKUP(October[[#This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21" t="str">
        <f>IFERROR(VLOOKUP(October[[#This Row],[Drug Name4]],'Data Options'!$R$1:$S$100,2,FALSE), " ")</f>
        <v xml:space="preserve"> </v>
      </c>
      <c r="AI200" s="32"/>
      <c r="AJ200" s="32"/>
      <c r="AK200" s="53"/>
      <c r="AL200" s="21" t="str">
        <f>IFERROR(VLOOKUP(October[[#This Row],[Drug Name5]],'Data Options'!$R$1:$S$100,2,FALSE), " ")</f>
        <v xml:space="preserve"> </v>
      </c>
      <c r="AM200" s="32"/>
      <c r="AN200" s="32"/>
      <c r="AO200" s="53"/>
      <c r="AP200" s="21" t="str">
        <f>IFERROR(VLOOKUP(October[[#This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21" t="str">
        <f>IFERROR(VLOOKUP(October[[#This Row],[Drug Name7]],'Data Options'!$R$1:$S$100,2,FALSE), " ")</f>
        <v xml:space="preserve"> </v>
      </c>
      <c r="AZ200" s="32"/>
      <c r="BA200" s="32"/>
      <c r="BB200" s="53"/>
      <c r="BC200" s="21" t="str">
        <f>IFERROR(VLOOKUP(October[[#This Row],[Drug Name8]],'Data Options'!$R$1:$S$100,2,FALSE), " ")</f>
        <v xml:space="preserve"> </v>
      </c>
      <c r="BD200" s="32"/>
      <c r="BE200" s="32"/>
      <c r="BF200" s="53"/>
      <c r="BG200" s="21" t="str">
        <f>IFERROR(VLOOKUP(October[[#This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21" t="str">
        <f>IFERROR(VLOOKUP(October[[#This Row],[Drug Name]],'Data Options'!$R$1:$S$100,2,FALSE), " ")</f>
        <v xml:space="preserve"> </v>
      </c>
      <c r="R201" s="32"/>
      <c r="S201" s="32"/>
      <c r="T201" s="53"/>
      <c r="U201" s="21" t="str">
        <f>IFERROR(VLOOKUP(October[[#This Row],[Drug Name2]],'Data Options'!$R$1:$S$100,2,FALSE), " ")</f>
        <v xml:space="preserve"> </v>
      </c>
      <c r="V201" s="32"/>
      <c r="W201" s="32"/>
      <c r="X201" s="53"/>
      <c r="Y201" s="21" t="str">
        <f>IFERROR(VLOOKUP(October[[#This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21" t="str">
        <f>IFERROR(VLOOKUP(October[[#This Row],[Drug Name4]],'Data Options'!$R$1:$S$100,2,FALSE), " ")</f>
        <v xml:space="preserve"> </v>
      </c>
      <c r="AI201" s="32"/>
      <c r="AJ201" s="32"/>
      <c r="AK201" s="53"/>
      <c r="AL201" s="21" t="str">
        <f>IFERROR(VLOOKUP(October[[#This Row],[Drug Name5]],'Data Options'!$R$1:$S$100,2,FALSE), " ")</f>
        <v xml:space="preserve"> </v>
      </c>
      <c r="AM201" s="32"/>
      <c r="AN201" s="32"/>
      <c r="AO201" s="53"/>
      <c r="AP201" s="21" t="str">
        <f>IFERROR(VLOOKUP(October[[#This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21" t="str">
        <f>IFERROR(VLOOKUP(October[[#This Row],[Drug Name7]],'Data Options'!$R$1:$S$100,2,FALSE), " ")</f>
        <v xml:space="preserve"> </v>
      </c>
      <c r="AZ201" s="32"/>
      <c r="BA201" s="32"/>
      <c r="BB201" s="53"/>
      <c r="BC201" s="21" t="str">
        <f>IFERROR(VLOOKUP(October[[#This Row],[Drug Name8]],'Data Options'!$R$1:$S$100,2,FALSE), " ")</f>
        <v xml:space="preserve"> </v>
      </c>
      <c r="BD201" s="32"/>
      <c r="BE201" s="32"/>
      <c r="BF201" s="53"/>
      <c r="BG201" s="21" t="str">
        <f>IFERROR(VLOOKUP(October[[#This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WupI7WAsU7l4O8YKmmKHJFQKVvtUoBqFUSip/k5ZHIjX2r30HrWl24W2WoPGGCyAqQ5Jm3+xpy05c1fe2RX2sA==" saltValue="OARGNnQjW2WC3DEXaJU+gw==" spinCount="100000" sheet="1" objects="1" scenarios="1"/>
  <mergeCells count="13">
    <mergeCell ref="AG2:AJ2"/>
    <mergeCell ref="AX2:BA2"/>
    <mergeCell ref="BB2:BE2"/>
    <mergeCell ref="BF2:BI2"/>
    <mergeCell ref="AB1:AF2"/>
    <mergeCell ref="AS1:AW2"/>
    <mergeCell ref="AO2:AR2"/>
    <mergeCell ref="A1:J2"/>
    <mergeCell ref="K1:Y1"/>
    <mergeCell ref="K2:O2"/>
    <mergeCell ref="P2:S2"/>
    <mergeCell ref="T2:W2"/>
    <mergeCell ref="X2:AA2"/>
  </mergeCells>
  <phoneticPr fontId="5" type="noConversion"/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topLeftCell="A2" workbookViewId="0">
      <selection activeCell="E15" sqref="E15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44136</v>
      </c>
      <c r="B4" s="52" t="s">
        <v>294</v>
      </c>
      <c r="C4" s="32">
        <v>20101</v>
      </c>
      <c r="D4" s="32" t="s">
        <v>12</v>
      </c>
      <c r="E4" s="32" t="s">
        <v>17</v>
      </c>
      <c r="F4" s="32" t="s">
        <v>117</v>
      </c>
      <c r="G4" s="32" t="s">
        <v>18</v>
      </c>
      <c r="H4" s="32"/>
      <c r="I4" s="32" t="s">
        <v>23</v>
      </c>
      <c r="J4" s="32">
        <v>0</v>
      </c>
      <c r="K4" s="32" t="s">
        <v>100</v>
      </c>
      <c r="L4" s="32"/>
      <c r="M4" s="32"/>
      <c r="N4" s="31"/>
      <c r="O4" s="31"/>
      <c r="P4" s="53"/>
      <c r="Q4" s="21" t="str">
        <f>IFERROR(VLOOKUP(November[[#This Row],[Drug Name]],'Data Options'!$R$1:$S$100,2,FALSE), " ")</f>
        <v xml:space="preserve"> </v>
      </c>
      <c r="R4" s="32"/>
      <c r="S4" s="32"/>
      <c r="T4" s="53"/>
      <c r="U4" s="21" t="str">
        <f>IFERROR(VLOOKUP(November[[#This Row],[Drug Name2]],'Data Options'!$R$1:$S$100,2,FALSE), " ")</f>
        <v xml:space="preserve"> </v>
      </c>
      <c r="V4" s="32"/>
      <c r="W4" s="32"/>
      <c r="X4" s="53"/>
      <c r="Y4" s="21" t="str">
        <f>IFERROR(VLOOKUP(November[[#This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21" t="str">
        <f>IFERROR(VLOOKUP(November[[#This Row],[Drug Name4]],'Data Options'!$R$1:$S$100,2,FALSE), " ")</f>
        <v xml:space="preserve"> </v>
      </c>
      <c r="AI4" s="32"/>
      <c r="AJ4" s="32"/>
      <c r="AK4" s="53"/>
      <c r="AL4" s="21" t="str">
        <f>IFERROR(VLOOKUP(November[[#This Row],[Drug Name5]],'Data Options'!$R$1:$S$100,2,FALSE), " ")</f>
        <v xml:space="preserve"> </v>
      </c>
      <c r="AM4" s="32"/>
      <c r="AN4" s="32"/>
      <c r="AO4" s="53"/>
      <c r="AP4" s="21" t="str">
        <f>IFERROR(VLOOKUP(November[[#This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21" t="str">
        <f>IFERROR(VLOOKUP(November[[#This Row],[Drug Name7]],'Data Options'!$R$1:$S$100,2,FALSE), " ")</f>
        <v xml:space="preserve"> </v>
      </c>
      <c r="AZ4" s="32"/>
      <c r="BA4" s="32"/>
      <c r="BB4" s="53"/>
      <c r="BC4" s="21" t="str">
        <f>IFERROR(VLOOKUP(November[[#This Row],[Drug Name8]],'Data Options'!$R$1:$S$100,2,FALSE), " ")</f>
        <v xml:space="preserve"> </v>
      </c>
      <c r="BD4" s="32"/>
      <c r="BE4" s="32"/>
      <c r="BF4" s="53"/>
      <c r="BG4" s="21" t="str">
        <f>IFERROR(VLOOKUP(November[[#This Row],[Drug Name9]],'Data Options'!$R$1:$S$100,2,FALSE), " ")</f>
        <v xml:space="preserve"> </v>
      </c>
      <c r="BH4" s="32"/>
      <c r="BI4" s="32"/>
    </row>
    <row r="5" spans="1:61">
      <c r="A5" s="51">
        <v>44137</v>
      </c>
      <c r="B5" s="52" t="s">
        <v>294</v>
      </c>
      <c r="C5" s="32">
        <v>20102</v>
      </c>
      <c r="D5" s="32" t="s">
        <v>13</v>
      </c>
      <c r="E5" s="32" t="s">
        <v>15</v>
      </c>
      <c r="F5" s="32" t="s">
        <v>218</v>
      </c>
      <c r="G5" s="32" t="s">
        <v>18</v>
      </c>
      <c r="H5" s="32"/>
      <c r="I5" s="32" t="s">
        <v>23</v>
      </c>
      <c r="J5" s="32">
        <v>0</v>
      </c>
      <c r="K5" s="32" t="s">
        <v>100</v>
      </c>
      <c r="L5" s="32"/>
      <c r="M5" s="32"/>
      <c r="N5" s="31"/>
      <c r="O5" s="31"/>
      <c r="P5" s="53"/>
      <c r="Q5" s="21" t="str">
        <f>IFERROR(VLOOKUP(November[[#This Row],[Drug Name]],'Data Options'!$R$1:$S$100,2,FALSE), " ")</f>
        <v xml:space="preserve"> </v>
      </c>
      <c r="R5" s="32"/>
      <c r="S5" s="32"/>
      <c r="T5" s="53"/>
      <c r="U5" s="21" t="str">
        <f>IFERROR(VLOOKUP(November[[#This Row],[Drug Name2]],'Data Options'!$R$1:$S$100,2,FALSE), " ")</f>
        <v xml:space="preserve"> </v>
      </c>
      <c r="V5" s="32"/>
      <c r="W5" s="32"/>
      <c r="X5" s="53"/>
      <c r="Y5" s="21" t="str">
        <f>IFERROR(VLOOKUP(November[[#This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21" t="str">
        <f>IFERROR(VLOOKUP(November[[#This Row],[Drug Name4]],'Data Options'!$R$1:$S$100,2,FALSE), " ")</f>
        <v xml:space="preserve"> </v>
      </c>
      <c r="AI5" s="32"/>
      <c r="AJ5" s="32"/>
      <c r="AK5" s="53"/>
      <c r="AL5" s="21" t="str">
        <f>IFERROR(VLOOKUP(November[[#This Row],[Drug Name5]],'Data Options'!$R$1:$S$100,2,FALSE), " ")</f>
        <v xml:space="preserve"> </v>
      </c>
      <c r="AM5" s="32"/>
      <c r="AN5" s="32"/>
      <c r="AO5" s="53"/>
      <c r="AP5" s="21" t="str">
        <f>IFERROR(VLOOKUP(November[[#This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21" t="str">
        <f>IFERROR(VLOOKUP(November[[#This Row],[Drug Name7]],'Data Options'!$R$1:$S$100,2,FALSE), " ")</f>
        <v xml:space="preserve"> </v>
      </c>
      <c r="AZ5" s="32"/>
      <c r="BA5" s="32"/>
      <c r="BB5" s="53"/>
      <c r="BC5" s="21" t="str">
        <f>IFERROR(VLOOKUP(November[[#This Row],[Drug Name8]],'Data Options'!$R$1:$S$100,2,FALSE), " ")</f>
        <v xml:space="preserve"> </v>
      </c>
      <c r="BD5" s="32"/>
      <c r="BE5" s="32"/>
      <c r="BF5" s="53"/>
      <c r="BG5" s="21" t="str">
        <f>IFERROR(VLOOKUP(November[[#This Row],[Drug Name9]],'Data Options'!$R$1:$S$100,2,FALSE), " ")</f>
        <v xml:space="preserve"> </v>
      </c>
      <c r="BH5" s="32"/>
      <c r="BI5" s="32"/>
    </row>
    <row r="6" spans="1:61">
      <c r="A6" s="51">
        <v>44138</v>
      </c>
      <c r="B6" s="52" t="s">
        <v>294</v>
      </c>
      <c r="C6" s="32">
        <v>20103</v>
      </c>
      <c r="D6" s="32" t="s">
        <v>12</v>
      </c>
      <c r="E6" s="32" t="s">
        <v>15</v>
      </c>
      <c r="F6" s="32" t="s">
        <v>219</v>
      </c>
      <c r="G6" s="32" t="s">
        <v>149</v>
      </c>
      <c r="H6" s="32"/>
      <c r="I6" s="32" t="s">
        <v>22</v>
      </c>
      <c r="J6" s="32">
        <v>1</v>
      </c>
      <c r="K6" s="32" t="s">
        <v>99</v>
      </c>
      <c r="L6" s="32"/>
      <c r="M6" s="32">
        <v>1</v>
      </c>
      <c r="N6" s="31" t="s">
        <v>23</v>
      </c>
      <c r="O6" s="31" t="s">
        <v>23</v>
      </c>
      <c r="P6" s="53" t="s">
        <v>30</v>
      </c>
      <c r="Q6" s="21" t="str">
        <f>IFERROR(VLOOKUP(November[[#This Row],[Drug Name]],'Data Options'!$R$1:$S$100,2,FALSE), " ")</f>
        <v>Cephalosporins</v>
      </c>
      <c r="R6" s="32" t="s">
        <v>122</v>
      </c>
      <c r="S6" s="32" t="s">
        <v>96</v>
      </c>
      <c r="T6" s="53"/>
      <c r="U6" s="21" t="str">
        <f>IFERROR(VLOOKUP(November[[#This Row],[Drug Name2]],'Data Options'!$R$1:$S$100,2,FALSE), " ")</f>
        <v xml:space="preserve"> </v>
      </c>
      <c r="V6" s="32"/>
      <c r="W6" s="32"/>
      <c r="X6" s="53"/>
      <c r="Y6" s="21" t="str">
        <f>IFERROR(VLOOKUP(November[[#This Row],[Drug Name3]],'Data Options'!$R$1:$S$100,2,FALSE), " ")</f>
        <v xml:space="preserve"> </v>
      </c>
      <c r="Z6" s="32"/>
      <c r="AA6" s="32"/>
      <c r="AB6" s="32"/>
      <c r="AC6" s="32"/>
      <c r="AD6" s="32"/>
      <c r="AE6" s="31"/>
      <c r="AF6" s="31"/>
      <c r="AG6" s="53"/>
      <c r="AH6" s="21" t="str">
        <f>IFERROR(VLOOKUP(November[[#This Row],[Drug Name4]],'Data Options'!$R$1:$S$100,2,FALSE), " ")</f>
        <v xml:space="preserve"> </v>
      </c>
      <c r="AI6" s="32"/>
      <c r="AJ6" s="32"/>
      <c r="AK6" s="53"/>
      <c r="AL6" s="21" t="str">
        <f>IFERROR(VLOOKUP(November[[#This Row],[Drug Name5]],'Data Options'!$R$1:$S$100,2,FALSE), " ")</f>
        <v xml:space="preserve"> </v>
      </c>
      <c r="AM6" s="32"/>
      <c r="AN6" s="32"/>
      <c r="AO6" s="53"/>
      <c r="AP6" s="21" t="str">
        <f>IFERROR(VLOOKUP(November[[#This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21" t="str">
        <f>IFERROR(VLOOKUP(November[[#This Row],[Drug Name7]],'Data Options'!$R$1:$S$100,2,FALSE), " ")</f>
        <v xml:space="preserve"> </v>
      </c>
      <c r="AZ6" s="32"/>
      <c r="BA6" s="32"/>
      <c r="BB6" s="53"/>
      <c r="BC6" s="21" t="str">
        <f>IFERROR(VLOOKUP(November[[#This Row],[Drug Name8]],'Data Options'!$R$1:$S$100,2,FALSE), " ")</f>
        <v xml:space="preserve"> </v>
      </c>
      <c r="BD6" s="32"/>
      <c r="BE6" s="32"/>
      <c r="BF6" s="53"/>
      <c r="BG6" s="21" t="str">
        <f>IFERROR(VLOOKUP(November[[#This Row],[Drug Name9]],'Data Options'!$R$1:$S$100,2,FALSE), " ")</f>
        <v xml:space="preserve"> </v>
      </c>
      <c r="BH6" s="32"/>
      <c r="BI6" s="32"/>
    </row>
    <row r="7" spans="1:61" ht="62">
      <c r="A7" s="51">
        <v>44139</v>
      </c>
      <c r="B7" s="52" t="s">
        <v>294</v>
      </c>
      <c r="C7" s="32">
        <v>20104</v>
      </c>
      <c r="D7" s="32" t="s">
        <v>13</v>
      </c>
      <c r="E7" s="32" t="s">
        <v>17</v>
      </c>
      <c r="F7" s="32" t="s">
        <v>220</v>
      </c>
      <c r="G7" s="32" t="s">
        <v>20</v>
      </c>
      <c r="H7" s="32"/>
      <c r="I7" s="32" t="s">
        <v>22</v>
      </c>
      <c r="J7" s="32">
        <v>2</v>
      </c>
      <c r="K7" s="32" t="s">
        <v>291</v>
      </c>
      <c r="L7" s="32"/>
      <c r="M7" s="32">
        <v>1</v>
      </c>
      <c r="N7" s="31" t="s">
        <v>22</v>
      </c>
      <c r="O7" s="31" t="s">
        <v>22</v>
      </c>
      <c r="P7" s="53" t="s">
        <v>311</v>
      </c>
      <c r="Q7" s="21" t="str">
        <f>IFERROR(VLOOKUP(November[[#This Row],[Drug Name]],'Data Options'!$R$1:$S$100,2,FALSE), " ")</f>
        <v>Otic</v>
      </c>
      <c r="R7" s="32" t="s">
        <v>88</v>
      </c>
      <c r="S7" s="32" t="s">
        <v>98</v>
      </c>
      <c r="T7" s="53"/>
      <c r="U7" s="21" t="str">
        <f>IFERROR(VLOOKUP(November[[#This Row],[Drug Name2]],'Data Options'!$R$1:$S$100,2,FALSE), " ")</f>
        <v xml:space="preserve"> </v>
      </c>
      <c r="V7" s="32"/>
      <c r="W7" s="32"/>
      <c r="X7" s="53"/>
      <c r="Y7" s="21" t="str">
        <f>IFERROR(VLOOKUP(November[[#This Row],[Drug Name3]],'Data Options'!$R$1:$S$100,2,FALSE), " ")</f>
        <v xml:space="preserve"> </v>
      </c>
      <c r="Z7" s="32"/>
      <c r="AA7" s="32"/>
      <c r="AB7" s="32" t="s">
        <v>224</v>
      </c>
      <c r="AC7" s="32"/>
      <c r="AD7" s="32">
        <v>1</v>
      </c>
      <c r="AE7" s="31" t="s">
        <v>23</v>
      </c>
      <c r="AF7" s="31" t="s">
        <v>23</v>
      </c>
      <c r="AG7" s="53" t="s">
        <v>251</v>
      </c>
      <c r="AH7" s="21" t="str">
        <f>IFERROR(VLOOKUP(November[[#This Row],[Drug Name4]],'Data Options'!$R$1:$S$100,2,FALSE), " ")</f>
        <v>Ophthalmic</v>
      </c>
      <c r="AI7" s="32" t="s">
        <v>120</v>
      </c>
      <c r="AJ7" s="32" t="s">
        <v>98</v>
      </c>
      <c r="AK7" s="53"/>
      <c r="AL7" s="21" t="str">
        <f>IFERROR(VLOOKUP(November[[#This Row],[Drug Name5]],'Data Options'!$R$1:$S$100,2,FALSE), " ")</f>
        <v xml:space="preserve"> </v>
      </c>
      <c r="AM7" s="32"/>
      <c r="AN7" s="32"/>
      <c r="AO7" s="53"/>
      <c r="AP7" s="21" t="str">
        <f>IFERROR(VLOOKUP(November[[#This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21" t="str">
        <f>IFERROR(VLOOKUP(November[[#This Row],[Drug Name7]],'Data Options'!$R$1:$S$100,2,FALSE), " ")</f>
        <v xml:space="preserve"> </v>
      </c>
      <c r="AZ7" s="32"/>
      <c r="BA7" s="32"/>
      <c r="BB7" s="53"/>
      <c r="BC7" s="21" t="str">
        <f>IFERROR(VLOOKUP(November[[#This Row],[Drug Name8]],'Data Options'!$R$1:$S$100,2,FALSE), " ")</f>
        <v xml:space="preserve"> </v>
      </c>
      <c r="BD7" s="32"/>
      <c r="BE7" s="32"/>
      <c r="BF7" s="53"/>
      <c r="BG7" s="21" t="str">
        <f>IFERROR(VLOOKUP(November[[#This Row],[Drug Name9]],'Data Options'!$R$1:$S$100,2,FALSE), " ")</f>
        <v xml:space="preserve"> </v>
      </c>
      <c r="BH7" s="32"/>
      <c r="BI7" s="32"/>
    </row>
    <row r="8" spans="1:61">
      <c r="A8" s="51">
        <v>44140</v>
      </c>
      <c r="B8" s="52" t="s">
        <v>294</v>
      </c>
      <c r="C8" s="32">
        <v>20105</v>
      </c>
      <c r="D8" s="32" t="s">
        <v>12</v>
      </c>
      <c r="E8" s="32" t="s">
        <v>16</v>
      </c>
      <c r="F8" s="32" t="s">
        <v>219</v>
      </c>
      <c r="G8" s="32" t="s">
        <v>18</v>
      </c>
      <c r="H8" s="32"/>
      <c r="I8" s="32" t="s">
        <v>23</v>
      </c>
      <c r="J8" s="32">
        <v>0</v>
      </c>
      <c r="K8" s="32" t="s">
        <v>100</v>
      </c>
      <c r="L8" s="32"/>
      <c r="M8" s="32"/>
      <c r="N8" s="31"/>
      <c r="O8" s="31"/>
      <c r="P8" s="53"/>
      <c r="Q8" s="21" t="str">
        <f>IFERROR(VLOOKUP(November[[#This Row],[Drug Name]],'Data Options'!$R$1:$S$100,2,FALSE), " ")</f>
        <v xml:space="preserve"> </v>
      </c>
      <c r="R8" s="32"/>
      <c r="S8" s="32"/>
      <c r="T8" s="53"/>
      <c r="U8" s="21" t="str">
        <f>IFERROR(VLOOKUP(November[[#This Row],[Drug Name2]],'Data Options'!$R$1:$S$100,2,FALSE), " ")</f>
        <v xml:space="preserve"> </v>
      </c>
      <c r="V8" s="32"/>
      <c r="W8" s="32"/>
      <c r="X8" s="53"/>
      <c r="Y8" s="21" t="str">
        <f>IFERROR(VLOOKUP(November[[#This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21" t="str">
        <f>IFERROR(VLOOKUP(November[[#This Row],[Drug Name4]],'Data Options'!$R$1:$S$100,2,FALSE), " ")</f>
        <v xml:space="preserve"> </v>
      </c>
      <c r="AI8" s="32"/>
      <c r="AJ8" s="32"/>
      <c r="AK8" s="53"/>
      <c r="AL8" s="21" t="str">
        <f>IFERROR(VLOOKUP(November[[#This Row],[Drug Name5]],'Data Options'!$R$1:$S$100,2,FALSE), " ")</f>
        <v xml:space="preserve"> </v>
      </c>
      <c r="AM8" s="32"/>
      <c r="AN8" s="32"/>
      <c r="AO8" s="53"/>
      <c r="AP8" s="21" t="str">
        <f>IFERROR(VLOOKUP(November[[#This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21" t="str">
        <f>IFERROR(VLOOKUP(November[[#This Row],[Drug Name7]],'Data Options'!$R$1:$S$100,2,FALSE), " ")</f>
        <v xml:space="preserve"> </v>
      </c>
      <c r="AZ8" s="32"/>
      <c r="BA8" s="32"/>
      <c r="BB8" s="53"/>
      <c r="BC8" s="21" t="str">
        <f>IFERROR(VLOOKUP(November[[#This Row],[Drug Name8]],'Data Options'!$R$1:$S$100,2,FALSE), " ")</f>
        <v xml:space="preserve"> </v>
      </c>
      <c r="BD8" s="32"/>
      <c r="BE8" s="32"/>
      <c r="BF8" s="53"/>
      <c r="BG8" s="21" t="str">
        <f>IFERROR(VLOOKUP(November[[#This Row],[Drug Name9]],'Data Options'!$R$1:$S$100,2,FALSE), " ")</f>
        <v xml:space="preserve"> </v>
      </c>
      <c r="BH8" s="32"/>
      <c r="BI8" s="32"/>
    </row>
    <row r="9" spans="1:61">
      <c r="A9" s="51">
        <v>44141</v>
      </c>
      <c r="B9" s="52" t="s">
        <v>294</v>
      </c>
      <c r="C9" s="32">
        <v>20106</v>
      </c>
      <c r="D9" s="32" t="s">
        <v>13</v>
      </c>
      <c r="E9" s="32" t="s">
        <v>15</v>
      </c>
      <c r="F9" s="32" t="s">
        <v>221</v>
      </c>
      <c r="G9" s="32" t="s">
        <v>20</v>
      </c>
      <c r="H9" s="32"/>
      <c r="I9" s="32" t="s">
        <v>22</v>
      </c>
      <c r="J9" s="32">
        <v>1</v>
      </c>
      <c r="K9" s="32" t="s">
        <v>222</v>
      </c>
      <c r="L9" s="32"/>
      <c r="M9" s="32">
        <v>1</v>
      </c>
      <c r="N9" s="31" t="s">
        <v>22</v>
      </c>
      <c r="O9" s="31" t="s">
        <v>22</v>
      </c>
      <c r="P9" s="53" t="s">
        <v>39</v>
      </c>
      <c r="Q9" s="21" t="str">
        <f>IFERROR(VLOOKUP(November[[#This Row],[Drug Name]],'Data Options'!$R$1:$S$100,2,FALSE), " ")</f>
        <v>Tetracyclines</v>
      </c>
      <c r="R9" s="32" t="s">
        <v>92</v>
      </c>
      <c r="S9" s="32" t="s">
        <v>89</v>
      </c>
      <c r="T9" s="53"/>
      <c r="U9" s="21" t="str">
        <f>IFERROR(VLOOKUP(November[[#This Row],[Drug Name2]],'Data Options'!$R$1:$S$100,2,FALSE), " ")</f>
        <v xml:space="preserve"> </v>
      </c>
      <c r="V9" s="32"/>
      <c r="W9" s="32"/>
      <c r="X9" s="53"/>
      <c r="Y9" s="21" t="str">
        <f>IFERROR(VLOOKUP(November[[#This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21" t="str">
        <f>IFERROR(VLOOKUP(November[[#This Row],[Drug Name4]],'Data Options'!$R$1:$S$100,2,FALSE), " ")</f>
        <v xml:space="preserve"> </v>
      </c>
      <c r="AI9" s="32"/>
      <c r="AJ9" s="32"/>
      <c r="AK9" s="53"/>
      <c r="AL9" s="21" t="str">
        <f>IFERROR(VLOOKUP(November[[#This Row],[Drug Name5]],'Data Options'!$R$1:$S$100,2,FALSE), " ")</f>
        <v xml:space="preserve"> </v>
      </c>
      <c r="AM9" s="32"/>
      <c r="AN9" s="32"/>
      <c r="AO9" s="53"/>
      <c r="AP9" s="21" t="str">
        <f>IFERROR(VLOOKUP(November[[#This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21" t="str">
        <f>IFERROR(VLOOKUP(November[[#This Row],[Drug Name7]],'Data Options'!$R$1:$S$100,2,FALSE), " ")</f>
        <v xml:space="preserve"> </v>
      </c>
      <c r="AZ9" s="32"/>
      <c r="BA9" s="32"/>
      <c r="BB9" s="53"/>
      <c r="BC9" s="21" t="str">
        <f>IFERROR(VLOOKUP(November[[#This Row],[Drug Name8]],'Data Options'!$R$1:$S$100,2,FALSE), " ")</f>
        <v xml:space="preserve"> </v>
      </c>
      <c r="BD9" s="32"/>
      <c r="BE9" s="32"/>
      <c r="BF9" s="53"/>
      <c r="BG9" s="21" t="str">
        <f>IFERROR(VLOOKUP(November[[#This Row],[Drug Name9]],'Data Options'!$R$1:$S$100,2,FALSE), " ")</f>
        <v xml:space="preserve"> </v>
      </c>
      <c r="BH9" s="32"/>
      <c r="BI9" s="32"/>
    </row>
    <row r="10" spans="1:61">
      <c r="A10" s="51">
        <v>44142</v>
      </c>
      <c r="B10" s="52" t="s">
        <v>294</v>
      </c>
      <c r="C10" s="32">
        <v>20107</v>
      </c>
      <c r="D10" s="32" t="s">
        <v>12</v>
      </c>
      <c r="E10" s="32" t="s">
        <v>14</v>
      </c>
      <c r="F10" s="32" t="s">
        <v>218</v>
      </c>
      <c r="G10" s="32" t="s">
        <v>149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1"/>
      <c r="O10" s="31"/>
      <c r="P10" s="53"/>
      <c r="Q10" s="21" t="str">
        <f>IFERROR(VLOOKUP(November[[#This Row],[Drug Name]],'Data Options'!$R$1:$S$100,2,FALSE), " ")</f>
        <v xml:space="preserve"> </v>
      </c>
      <c r="R10" s="32"/>
      <c r="S10" s="32"/>
      <c r="T10" s="53"/>
      <c r="U10" s="21" t="str">
        <f>IFERROR(VLOOKUP(November[[#This Row],[Drug Name2]],'Data Options'!$R$1:$S$100,2,FALSE), " ")</f>
        <v xml:space="preserve"> </v>
      </c>
      <c r="V10" s="32"/>
      <c r="W10" s="32"/>
      <c r="X10" s="53"/>
      <c r="Y10" s="21" t="str">
        <f>IFERROR(VLOOKUP(November[[#This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21" t="str">
        <f>IFERROR(VLOOKUP(November[[#This Row],[Drug Name4]],'Data Options'!$R$1:$S$100,2,FALSE), " ")</f>
        <v xml:space="preserve"> </v>
      </c>
      <c r="AI10" s="32"/>
      <c r="AJ10" s="32"/>
      <c r="AK10" s="53"/>
      <c r="AL10" s="21" t="str">
        <f>IFERROR(VLOOKUP(November[[#This Row],[Drug Name5]],'Data Options'!$R$1:$S$100,2,FALSE), " ")</f>
        <v xml:space="preserve"> </v>
      </c>
      <c r="AM10" s="32"/>
      <c r="AN10" s="32"/>
      <c r="AO10" s="53"/>
      <c r="AP10" s="21" t="str">
        <f>IFERROR(VLOOKUP(November[[#This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21" t="str">
        <f>IFERROR(VLOOKUP(November[[#This Row],[Drug Name7]],'Data Options'!$R$1:$S$100,2,FALSE), " ")</f>
        <v xml:space="preserve"> </v>
      </c>
      <c r="AZ10" s="32"/>
      <c r="BA10" s="32"/>
      <c r="BB10" s="53"/>
      <c r="BC10" s="21" t="str">
        <f>IFERROR(VLOOKUP(November[[#This Row],[Drug Name8]],'Data Options'!$R$1:$S$100,2,FALSE), " ")</f>
        <v xml:space="preserve"> </v>
      </c>
      <c r="BD10" s="32"/>
      <c r="BE10" s="32"/>
      <c r="BF10" s="53"/>
      <c r="BG10" s="21" t="str">
        <f>IFERROR(VLOOKUP(November[[#This Row],[Drug Name9]],'Data Options'!$R$1:$S$100,2,FALSE), " ")</f>
        <v xml:space="preserve"> </v>
      </c>
      <c r="BH10" s="32"/>
      <c r="BI10" s="32"/>
    </row>
    <row r="11" spans="1:61">
      <c r="A11" s="51">
        <v>44143</v>
      </c>
      <c r="B11" s="52" t="s">
        <v>294</v>
      </c>
      <c r="C11" s="32">
        <v>20108</v>
      </c>
      <c r="D11" s="32" t="s">
        <v>13</v>
      </c>
      <c r="E11" s="32" t="s">
        <v>17</v>
      </c>
      <c r="F11" s="32" t="s">
        <v>221</v>
      </c>
      <c r="G11" s="32" t="s">
        <v>292</v>
      </c>
      <c r="H11" s="32"/>
      <c r="I11" s="32" t="s">
        <v>23</v>
      </c>
      <c r="J11" s="32">
        <v>0</v>
      </c>
      <c r="K11" s="32" t="s">
        <v>100</v>
      </c>
      <c r="L11" s="32"/>
      <c r="M11" s="32"/>
      <c r="N11" s="31"/>
      <c r="O11" s="31"/>
      <c r="P11" s="53"/>
      <c r="Q11" s="21" t="str">
        <f>IFERROR(VLOOKUP(November[[#This Row],[Drug Name]],'Data Options'!$R$1:$S$100,2,FALSE), " ")</f>
        <v xml:space="preserve"> </v>
      </c>
      <c r="R11" s="32"/>
      <c r="S11" s="32"/>
      <c r="T11" s="53"/>
      <c r="U11" s="21" t="str">
        <f>IFERROR(VLOOKUP(November[[#This Row],[Drug Name2]],'Data Options'!$R$1:$S$100,2,FALSE), " ")</f>
        <v xml:space="preserve"> </v>
      </c>
      <c r="V11" s="32"/>
      <c r="W11" s="32"/>
      <c r="X11" s="53"/>
      <c r="Y11" s="21" t="str">
        <f>IFERROR(VLOOKUP(November[[#This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21" t="str">
        <f>IFERROR(VLOOKUP(November[[#This Row],[Drug Name4]],'Data Options'!$R$1:$S$100,2,FALSE), " ")</f>
        <v xml:space="preserve"> </v>
      </c>
      <c r="AI11" s="32"/>
      <c r="AJ11" s="32"/>
      <c r="AK11" s="53"/>
      <c r="AL11" s="21" t="str">
        <f>IFERROR(VLOOKUP(November[[#This Row],[Drug Name5]],'Data Options'!$R$1:$S$100,2,FALSE), " ")</f>
        <v xml:space="preserve"> </v>
      </c>
      <c r="AM11" s="32"/>
      <c r="AN11" s="32"/>
      <c r="AO11" s="53"/>
      <c r="AP11" s="21" t="str">
        <f>IFERROR(VLOOKUP(November[[#This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21" t="str">
        <f>IFERROR(VLOOKUP(November[[#This Row],[Drug Name7]],'Data Options'!$R$1:$S$100,2,FALSE), " ")</f>
        <v xml:space="preserve"> </v>
      </c>
      <c r="AZ11" s="32"/>
      <c r="BA11" s="32"/>
      <c r="BB11" s="53"/>
      <c r="BC11" s="21" t="str">
        <f>IFERROR(VLOOKUP(November[[#This Row],[Drug Name8]],'Data Options'!$R$1:$S$100,2,FALSE), " ")</f>
        <v xml:space="preserve"> </v>
      </c>
      <c r="BD11" s="32"/>
      <c r="BE11" s="32"/>
      <c r="BF11" s="53"/>
      <c r="BG11" s="21" t="str">
        <f>IFERROR(VLOOKUP(November[[#This Row],[Drug Name9]],'Data Options'!$R$1:$S$100,2,FALSE), " ")</f>
        <v xml:space="preserve"> </v>
      </c>
      <c r="BH11" s="32"/>
      <c r="BI11" s="32"/>
    </row>
    <row r="12" spans="1:61">
      <c r="A12" s="51">
        <v>44144</v>
      </c>
      <c r="B12" s="52" t="s">
        <v>294</v>
      </c>
      <c r="C12" s="32">
        <v>20109</v>
      </c>
      <c r="D12" s="32" t="s">
        <v>13</v>
      </c>
      <c r="E12" s="32" t="s">
        <v>15</v>
      </c>
      <c r="F12" s="32" t="s">
        <v>123</v>
      </c>
      <c r="G12" s="32" t="s">
        <v>18</v>
      </c>
      <c r="H12" s="32"/>
      <c r="I12" s="32" t="s">
        <v>23</v>
      </c>
      <c r="J12" s="32">
        <v>0</v>
      </c>
      <c r="K12" s="32" t="s">
        <v>21</v>
      </c>
      <c r="L12" s="32" t="s">
        <v>320</v>
      </c>
      <c r="M12" s="32"/>
      <c r="N12" s="31"/>
      <c r="O12" s="31"/>
      <c r="P12" s="53"/>
      <c r="Q12" s="21" t="str">
        <f>IFERROR(VLOOKUP(November[[#This Row],[Drug Name]],'Data Options'!$R$1:$S$100,2,FALSE), " ")</f>
        <v xml:space="preserve"> </v>
      </c>
      <c r="R12" s="32"/>
      <c r="S12" s="32"/>
      <c r="T12" s="53"/>
      <c r="U12" s="21" t="str">
        <f>IFERROR(VLOOKUP(November[[#This Row],[Drug Name2]],'Data Options'!$R$1:$S$100,2,FALSE), " ")</f>
        <v xml:space="preserve"> </v>
      </c>
      <c r="V12" s="32"/>
      <c r="W12" s="32"/>
      <c r="X12" s="53"/>
      <c r="Y12" s="21" t="str">
        <f>IFERROR(VLOOKUP(November[[#This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21" t="str">
        <f>IFERROR(VLOOKUP(November[[#This Row],[Drug Name4]],'Data Options'!$R$1:$S$100,2,FALSE), " ")</f>
        <v xml:space="preserve"> </v>
      </c>
      <c r="AI12" s="32"/>
      <c r="AJ12" s="32"/>
      <c r="AK12" s="53"/>
      <c r="AL12" s="21" t="str">
        <f>IFERROR(VLOOKUP(November[[#This Row],[Drug Name5]],'Data Options'!$R$1:$S$100,2,FALSE), " ")</f>
        <v xml:space="preserve"> </v>
      </c>
      <c r="AM12" s="32"/>
      <c r="AN12" s="32"/>
      <c r="AO12" s="53"/>
      <c r="AP12" s="21" t="str">
        <f>IFERROR(VLOOKUP(November[[#This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21" t="str">
        <f>IFERROR(VLOOKUP(November[[#This Row],[Drug Name7]],'Data Options'!$R$1:$S$100,2,FALSE), " ")</f>
        <v xml:space="preserve"> </v>
      </c>
      <c r="AZ12" s="32"/>
      <c r="BA12" s="32"/>
      <c r="BB12" s="53"/>
      <c r="BC12" s="21" t="str">
        <f>IFERROR(VLOOKUP(November[[#This Row],[Drug Name8]],'Data Options'!$R$1:$S$100,2,FALSE), " ")</f>
        <v xml:space="preserve"> </v>
      </c>
      <c r="BD12" s="32"/>
      <c r="BE12" s="32"/>
      <c r="BF12" s="53"/>
      <c r="BG12" s="21" t="str">
        <f>IFERROR(VLOOKUP(November[[#This Row],[Drug Name9]],'Data Options'!$R$1:$S$100,2,FALSE), " ")</f>
        <v xml:space="preserve"> </v>
      </c>
      <c r="BH12" s="32"/>
      <c r="BI12" s="32"/>
    </row>
    <row r="13" spans="1:61">
      <c r="A13" s="51">
        <v>44145</v>
      </c>
      <c r="B13" s="52" t="s">
        <v>294</v>
      </c>
      <c r="C13" s="32">
        <v>20110</v>
      </c>
      <c r="D13" s="32" t="s">
        <v>13</v>
      </c>
      <c r="E13" s="32" t="s">
        <v>17</v>
      </c>
      <c r="F13" s="32" t="s">
        <v>123</v>
      </c>
      <c r="G13" s="32" t="s">
        <v>20</v>
      </c>
      <c r="H13" s="32"/>
      <c r="I13" s="32" t="s">
        <v>22</v>
      </c>
      <c r="J13" s="32">
        <v>1</v>
      </c>
      <c r="K13" s="32" t="s">
        <v>278</v>
      </c>
      <c r="L13" s="32"/>
      <c r="M13" s="32">
        <v>1</v>
      </c>
      <c r="N13" s="31" t="s">
        <v>22</v>
      </c>
      <c r="O13" s="31" t="s">
        <v>23</v>
      </c>
      <c r="P13" s="53" t="s">
        <v>27</v>
      </c>
      <c r="Q13" s="21" t="str">
        <f>IFERROR(VLOOKUP(November[[#This Row],[Drug Name]],'Data Options'!$R$1:$S$100,2,FALSE), " ")</f>
        <v>Penicillins</v>
      </c>
      <c r="R13" s="32" t="s">
        <v>92</v>
      </c>
      <c r="S13" s="32" t="s">
        <v>89</v>
      </c>
      <c r="T13" s="53"/>
      <c r="U13" s="21" t="str">
        <f>IFERROR(VLOOKUP(November[[#This Row],[Drug Name2]],'Data Options'!$R$1:$S$100,2,FALSE), " ")</f>
        <v xml:space="preserve"> </v>
      </c>
      <c r="V13" s="32"/>
      <c r="W13" s="32"/>
      <c r="X13" s="53"/>
      <c r="Y13" s="21" t="str">
        <f>IFERROR(VLOOKUP(November[[#This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21" t="str">
        <f>IFERROR(VLOOKUP(November[[#This Row],[Drug Name4]],'Data Options'!$R$1:$S$100,2,FALSE), " ")</f>
        <v xml:space="preserve"> </v>
      </c>
      <c r="AI13" s="32"/>
      <c r="AJ13" s="32"/>
      <c r="AK13" s="53"/>
      <c r="AL13" s="21" t="str">
        <f>IFERROR(VLOOKUP(November[[#This Row],[Drug Name5]],'Data Options'!$R$1:$S$100,2,FALSE), " ")</f>
        <v xml:space="preserve"> </v>
      </c>
      <c r="AM13" s="32"/>
      <c r="AN13" s="32"/>
      <c r="AO13" s="53"/>
      <c r="AP13" s="21" t="str">
        <f>IFERROR(VLOOKUP(November[[#This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21" t="str">
        <f>IFERROR(VLOOKUP(November[[#This Row],[Drug Name7]],'Data Options'!$R$1:$S$100,2,FALSE), " ")</f>
        <v xml:space="preserve"> </v>
      </c>
      <c r="AZ13" s="32"/>
      <c r="BA13" s="32"/>
      <c r="BB13" s="53"/>
      <c r="BC13" s="21" t="str">
        <f>IFERROR(VLOOKUP(November[[#This Row],[Drug Name8]],'Data Options'!$R$1:$S$100,2,FALSE), " ")</f>
        <v xml:space="preserve"> </v>
      </c>
      <c r="BD13" s="32"/>
      <c r="BE13" s="32"/>
      <c r="BF13" s="53"/>
      <c r="BG13" s="21" t="str">
        <f>IFERROR(VLOOKUP(November[[#This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21" t="str">
        <f>IFERROR(VLOOKUP(November[[#This Row],[Drug Name]],'Data Options'!$R$1:$S$100,2,FALSE), " ")</f>
        <v xml:space="preserve"> </v>
      </c>
      <c r="R14" s="32"/>
      <c r="S14" s="32"/>
      <c r="T14" s="53"/>
      <c r="U14" s="21" t="str">
        <f>IFERROR(VLOOKUP(November[[#This Row],[Drug Name2]],'Data Options'!$R$1:$S$100,2,FALSE), " ")</f>
        <v xml:space="preserve"> </v>
      </c>
      <c r="V14" s="32"/>
      <c r="W14" s="32"/>
      <c r="X14" s="53"/>
      <c r="Y14" s="21" t="str">
        <f>IFERROR(VLOOKUP(November[[#This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21" t="str">
        <f>IFERROR(VLOOKUP(November[[#This Row],[Drug Name4]],'Data Options'!$R$1:$S$100,2,FALSE), " ")</f>
        <v xml:space="preserve"> </v>
      </c>
      <c r="AI14" s="32"/>
      <c r="AJ14" s="32"/>
      <c r="AK14" s="53"/>
      <c r="AL14" s="21" t="str">
        <f>IFERROR(VLOOKUP(November[[#This Row],[Drug Name5]],'Data Options'!$R$1:$S$100,2,FALSE), " ")</f>
        <v xml:space="preserve"> </v>
      </c>
      <c r="AM14" s="32"/>
      <c r="AN14" s="32"/>
      <c r="AO14" s="53"/>
      <c r="AP14" s="21" t="str">
        <f>IFERROR(VLOOKUP(November[[#This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21" t="str">
        <f>IFERROR(VLOOKUP(November[[#This Row],[Drug Name7]],'Data Options'!$R$1:$S$100,2,FALSE), " ")</f>
        <v xml:space="preserve"> </v>
      </c>
      <c r="AZ14" s="32"/>
      <c r="BA14" s="32"/>
      <c r="BB14" s="53"/>
      <c r="BC14" s="21" t="str">
        <f>IFERROR(VLOOKUP(November[[#This Row],[Drug Name8]],'Data Options'!$R$1:$S$100,2,FALSE), " ")</f>
        <v xml:space="preserve"> </v>
      </c>
      <c r="BD14" s="32"/>
      <c r="BE14" s="32"/>
      <c r="BF14" s="53"/>
      <c r="BG14" s="21" t="str">
        <f>IFERROR(VLOOKUP(November[[#This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21" t="str">
        <f>IFERROR(VLOOKUP(November[[#This Row],[Drug Name]],'Data Options'!$R$1:$S$100,2,FALSE), " ")</f>
        <v xml:space="preserve"> </v>
      </c>
      <c r="R15" s="32"/>
      <c r="S15" s="32"/>
      <c r="T15" s="53"/>
      <c r="U15" s="21" t="str">
        <f>IFERROR(VLOOKUP(November[[#This Row],[Drug Name2]],'Data Options'!$R$1:$S$100,2,FALSE), " ")</f>
        <v xml:space="preserve"> </v>
      </c>
      <c r="V15" s="32"/>
      <c r="W15" s="32"/>
      <c r="X15" s="53"/>
      <c r="Y15" s="21" t="str">
        <f>IFERROR(VLOOKUP(November[[#This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21" t="str">
        <f>IFERROR(VLOOKUP(November[[#This Row],[Drug Name4]],'Data Options'!$R$1:$S$100,2,FALSE), " ")</f>
        <v xml:space="preserve"> </v>
      </c>
      <c r="AI15" s="32"/>
      <c r="AJ15" s="32"/>
      <c r="AK15" s="53"/>
      <c r="AL15" s="21" t="str">
        <f>IFERROR(VLOOKUP(November[[#This Row],[Drug Name5]],'Data Options'!$R$1:$S$100,2,FALSE), " ")</f>
        <v xml:space="preserve"> </v>
      </c>
      <c r="AM15" s="32"/>
      <c r="AN15" s="32"/>
      <c r="AO15" s="53"/>
      <c r="AP15" s="21" t="str">
        <f>IFERROR(VLOOKUP(November[[#This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21" t="str">
        <f>IFERROR(VLOOKUP(November[[#This Row],[Drug Name7]],'Data Options'!$R$1:$S$100,2,FALSE), " ")</f>
        <v xml:space="preserve"> </v>
      </c>
      <c r="AZ15" s="32"/>
      <c r="BA15" s="32"/>
      <c r="BB15" s="53"/>
      <c r="BC15" s="21" t="str">
        <f>IFERROR(VLOOKUP(November[[#This Row],[Drug Name8]],'Data Options'!$R$1:$S$100,2,FALSE), " ")</f>
        <v xml:space="preserve"> </v>
      </c>
      <c r="BD15" s="32"/>
      <c r="BE15" s="32"/>
      <c r="BF15" s="53"/>
      <c r="BG15" s="21" t="str">
        <f>IFERROR(VLOOKUP(November[[#This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21" t="str">
        <f>IFERROR(VLOOKUP(November[[#This Row],[Drug Name]],'Data Options'!$R$1:$S$100,2,FALSE), " ")</f>
        <v xml:space="preserve"> </v>
      </c>
      <c r="R16" s="32"/>
      <c r="S16" s="32"/>
      <c r="T16" s="53"/>
      <c r="U16" s="21" t="str">
        <f>IFERROR(VLOOKUP(November[[#This Row],[Drug Name2]],'Data Options'!$R$1:$S$100,2,FALSE), " ")</f>
        <v xml:space="preserve"> </v>
      </c>
      <c r="V16" s="32"/>
      <c r="W16" s="32"/>
      <c r="X16" s="53"/>
      <c r="Y16" s="21" t="str">
        <f>IFERROR(VLOOKUP(November[[#This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21" t="str">
        <f>IFERROR(VLOOKUP(November[[#This Row],[Drug Name4]],'Data Options'!$R$1:$S$100,2,FALSE), " ")</f>
        <v xml:space="preserve"> </v>
      </c>
      <c r="AI16" s="32"/>
      <c r="AJ16" s="32"/>
      <c r="AK16" s="53"/>
      <c r="AL16" s="21" t="str">
        <f>IFERROR(VLOOKUP(November[[#This Row],[Drug Name5]],'Data Options'!$R$1:$S$100,2,FALSE), " ")</f>
        <v xml:space="preserve"> </v>
      </c>
      <c r="AM16" s="32"/>
      <c r="AN16" s="32"/>
      <c r="AO16" s="53"/>
      <c r="AP16" s="21" t="str">
        <f>IFERROR(VLOOKUP(November[[#This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21" t="str">
        <f>IFERROR(VLOOKUP(November[[#This Row],[Drug Name7]],'Data Options'!$R$1:$S$100,2,FALSE), " ")</f>
        <v xml:space="preserve"> </v>
      </c>
      <c r="AZ16" s="32"/>
      <c r="BA16" s="32"/>
      <c r="BB16" s="53"/>
      <c r="BC16" s="21" t="str">
        <f>IFERROR(VLOOKUP(November[[#This Row],[Drug Name8]],'Data Options'!$R$1:$S$100,2,FALSE), " ")</f>
        <v xml:space="preserve"> </v>
      </c>
      <c r="BD16" s="32"/>
      <c r="BE16" s="32"/>
      <c r="BF16" s="53"/>
      <c r="BG16" s="21" t="str">
        <f>IFERROR(VLOOKUP(November[[#This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21" t="str">
        <f>IFERROR(VLOOKUP(November[[#This Row],[Drug Name]],'Data Options'!$R$1:$S$100,2,FALSE), " ")</f>
        <v xml:space="preserve"> </v>
      </c>
      <c r="R17" s="32"/>
      <c r="S17" s="32"/>
      <c r="T17" s="53"/>
      <c r="U17" s="21" t="str">
        <f>IFERROR(VLOOKUP(November[[#This Row],[Drug Name2]],'Data Options'!$R$1:$S$100,2,FALSE), " ")</f>
        <v xml:space="preserve"> </v>
      </c>
      <c r="V17" s="32"/>
      <c r="W17" s="32"/>
      <c r="X17" s="53"/>
      <c r="Y17" s="21" t="str">
        <f>IFERROR(VLOOKUP(November[[#This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21" t="str">
        <f>IFERROR(VLOOKUP(November[[#This Row],[Drug Name4]],'Data Options'!$R$1:$S$100,2,FALSE), " ")</f>
        <v xml:space="preserve"> </v>
      </c>
      <c r="AI17" s="32"/>
      <c r="AJ17" s="32"/>
      <c r="AK17" s="53"/>
      <c r="AL17" s="21" t="str">
        <f>IFERROR(VLOOKUP(November[[#This Row],[Drug Name5]],'Data Options'!$R$1:$S$100,2,FALSE), " ")</f>
        <v xml:space="preserve"> </v>
      </c>
      <c r="AM17" s="32"/>
      <c r="AN17" s="32"/>
      <c r="AO17" s="53"/>
      <c r="AP17" s="21" t="str">
        <f>IFERROR(VLOOKUP(November[[#This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21" t="str">
        <f>IFERROR(VLOOKUP(November[[#This Row],[Drug Name7]],'Data Options'!$R$1:$S$100,2,FALSE), " ")</f>
        <v xml:space="preserve"> </v>
      </c>
      <c r="AZ17" s="32"/>
      <c r="BA17" s="32"/>
      <c r="BB17" s="53"/>
      <c r="BC17" s="21" t="str">
        <f>IFERROR(VLOOKUP(November[[#This Row],[Drug Name8]],'Data Options'!$R$1:$S$100,2,FALSE), " ")</f>
        <v xml:space="preserve"> </v>
      </c>
      <c r="BD17" s="32"/>
      <c r="BE17" s="32"/>
      <c r="BF17" s="53"/>
      <c r="BG17" s="21" t="str">
        <f>IFERROR(VLOOKUP(November[[#This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21" t="str">
        <f>IFERROR(VLOOKUP(November[[#This Row],[Drug Name]],'Data Options'!$R$1:$S$100,2,FALSE), " ")</f>
        <v xml:space="preserve"> </v>
      </c>
      <c r="R18" s="32"/>
      <c r="S18" s="32"/>
      <c r="T18" s="53"/>
      <c r="U18" s="21" t="str">
        <f>IFERROR(VLOOKUP(November[[#This Row],[Drug Name2]],'Data Options'!$R$1:$S$100,2,FALSE), " ")</f>
        <v xml:space="preserve"> </v>
      </c>
      <c r="V18" s="32"/>
      <c r="W18" s="32"/>
      <c r="X18" s="53"/>
      <c r="Y18" s="21" t="str">
        <f>IFERROR(VLOOKUP(November[[#This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21" t="str">
        <f>IFERROR(VLOOKUP(November[[#This Row],[Drug Name4]],'Data Options'!$R$1:$S$100,2,FALSE), " ")</f>
        <v xml:space="preserve"> </v>
      </c>
      <c r="AI18" s="32"/>
      <c r="AJ18" s="32"/>
      <c r="AK18" s="53"/>
      <c r="AL18" s="21" t="str">
        <f>IFERROR(VLOOKUP(November[[#This Row],[Drug Name5]],'Data Options'!$R$1:$S$100,2,FALSE), " ")</f>
        <v xml:space="preserve"> </v>
      </c>
      <c r="AM18" s="32"/>
      <c r="AN18" s="32"/>
      <c r="AO18" s="53"/>
      <c r="AP18" s="21" t="str">
        <f>IFERROR(VLOOKUP(November[[#This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21" t="str">
        <f>IFERROR(VLOOKUP(November[[#This Row],[Drug Name7]],'Data Options'!$R$1:$S$100,2,FALSE), " ")</f>
        <v xml:space="preserve"> </v>
      </c>
      <c r="AZ18" s="32"/>
      <c r="BA18" s="32"/>
      <c r="BB18" s="53"/>
      <c r="BC18" s="21" t="str">
        <f>IFERROR(VLOOKUP(November[[#This Row],[Drug Name8]],'Data Options'!$R$1:$S$100,2,FALSE), " ")</f>
        <v xml:space="preserve"> </v>
      </c>
      <c r="BD18" s="32"/>
      <c r="BE18" s="32"/>
      <c r="BF18" s="53"/>
      <c r="BG18" s="21" t="str">
        <f>IFERROR(VLOOKUP(November[[#This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21" t="str">
        <f>IFERROR(VLOOKUP(November[[#This Row],[Drug Name]],'Data Options'!$R$1:$S$100,2,FALSE), " ")</f>
        <v xml:space="preserve"> </v>
      </c>
      <c r="R19" s="32"/>
      <c r="S19" s="32"/>
      <c r="T19" s="53"/>
      <c r="U19" s="21" t="str">
        <f>IFERROR(VLOOKUP(November[[#This Row],[Drug Name2]],'Data Options'!$R$1:$S$100,2,FALSE), " ")</f>
        <v xml:space="preserve"> </v>
      </c>
      <c r="V19" s="32"/>
      <c r="W19" s="32"/>
      <c r="X19" s="53"/>
      <c r="Y19" s="21" t="str">
        <f>IFERROR(VLOOKUP(November[[#This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21" t="str">
        <f>IFERROR(VLOOKUP(November[[#This Row],[Drug Name4]],'Data Options'!$R$1:$S$100,2,FALSE), " ")</f>
        <v xml:space="preserve"> </v>
      </c>
      <c r="AI19" s="32"/>
      <c r="AJ19" s="32"/>
      <c r="AK19" s="53"/>
      <c r="AL19" s="21" t="str">
        <f>IFERROR(VLOOKUP(November[[#This Row],[Drug Name5]],'Data Options'!$R$1:$S$100,2,FALSE), " ")</f>
        <v xml:space="preserve"> </v>
      </c>
      <c r="AM19" s="32"/>
      <c r="AN19" s="32"/>
      <c r="AO19" s="53"/>
      <c r="AP19" s="21" t="str">
        <f>IFERROR(VLOOKUP(November[[#This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21" t="str">
        <f>IFERROR(VLOOKUP(November[[#This Row],[Drug Name7]],'Data Options'!$R$1:$S$100,2,FALSE), " ")</f>
        <v xml:space="preserve"> </v>
      </c>
      <c r="AZ19" s="32"/>
      <c r="BA19" s="32"/>
      <c r="BB19" s="53"/>
      <c r="BC19" s="21" t="str">
        <f>IFERROR(VLOOKUP(November[[#This Row],[Drug Name8]],'Data Options'!$R$1:$S$100,2,FALSE), " ")</f>
        <v xml:space="preserve"> </v>
      </c>
      <c r="BD19" s="32"/>
      <c r="BE19" s="32"/>
      <c r="BF19" s="53"/>
      <c r="BG19" s="21" t="str">
        <f>IFERROR(VLOOKUP(November[[#This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21" t="str">
        <f>IFERROR(VLOOKUP(November[[#This Row],[Drug Name]],'Data Options'!$R$1:$S$100,2,FALSE), " ")</f>
        <v xml:space="preserve"> </v>
      </c>
      <c r="R20" s="32"/>
      <c r="S20" s="32"/>
      <c r="T20" s="53"/>
      <c r="U20" s="21" t="str">
        <f>IFERROR(VLOOKUP(November[[#This Row],[Drug Name2]],'Data Options'!$R$1:$S$100,2,FALSE), " ")</f>
        <v xml:space="preserve"> </v>
      </c>
      <c r="V20" s="32"/>
      <c r="W20" s="32"/>
      <c r="X20" s="53"/>
      <c r="Y20" s="21" t="str">
        <f>IFERROR(VLOOKUP(November[[#This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21" t="str">
        <f>IFERROR(VLOOKUP(November[[#This Row],[Drug Name4]],'Data Options'!$R$1:$S$100,2,FALSE), " ")</f>
        <v xml:space="preserve"> </v>
      </c>
      <c r="AI20" s="32"/>
      <c r="AJ20" s="32"/>
      <c r="AK20" s="53"/>
      <c r="AL20" s="21" t="str">
        <f>IFERROR(VLOOKUP(November[[#This Row],[Drug Name5]],'Data Options'!$R$1:$S$100,2,FALSE), " ")</f>
        <v xml:space="preserve"> </v>
      </c>
      <c r="AM20" s="32"/>
      <c r="AN20" s="32"/>
      <c r="AO20" s="53"/>
      <c r="AP20" s="21" t="str">
        <f>IFERROR(VLOOKUP(November[[#This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21" t="str">
        <f>IFERROR(VLOOKUP(November[[#This Row],[Drug Name7]],'Data Options'!$R$1:$S$100,2,FALSE), " ")</f>
        <v xml:space="preserve"> </v>
      </c>
      <c r="AZ20" s="32"/>
      <c r="BA20" s="32"/>
      <c r="BB20" s="53"/>
      <c r="BC20" s="21" t="str">
        <f>IFERROR(VLOOKUP(November[[#This Row],[Drug Name8]],'Data Options'!$R$1:$S$100,2,FALSE), " ")</f>
        <v xml:space="preserve"> </v>
      </c>
      <c r="BD20" s="32"/>
      <c r="BE20" s="32"/>
      <c r="BF20" s="53"/>
      <c r="BG20" s="21" t="str">
        <f>IFERROR(VLOOKUP(November[[#This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21" t="str">
        <f>IFERROR(VLOOKUP(November[[#This Row],[Drug Name]],'Data Options'!$R$1:$S$100,2,FALSE), " ")</f>
        <v xml:space="preserve"> </v>
      </c>
      <c r="R21" s="32"/>
      <c r="S21" s="32"/>
      <c r="T21" s="53"/>
      <c r="U21" s="21" t="str">
        <f>IFERROR(VLOOKUP(November[[#This Row],[Drug Name2]],'Data Options'!$R$1:$S$100,2,FALSE), " ")</f>
        <v xml:space="preserve"> </v>
      </c>
      <c r="V21" s="32"/>
      <c r="W21" s="32"/>
      <c r="X21" s="53"/>
      <c r="Y21" s="21" t="str">
        <f>IFERROR(VLOOKUP(November[[#This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21" t="str">
        <f>IFERROR(VLOOKUP(November[[#This Row],[Drug Name4]],'Data Options'!$R$1:$S$100,2,FALSE), " ")</f>
        <v xml:space="preserve"> </v>
      </c>
      <c r="AI21" s="32"/>
      <c r="AJ21" s="32"/>
      <c r="AK21" s="53"/>
      <c r="AL21" s="21" t="str">
        <f>IFERROR(VLOOKUP(November[[#This Row],[Drug Name5]],'Data Options'!$R$1:$S$100,2,FALSE), " ")</f>
        <v xml:space="preserve"> </v>
      </c>
      <c r="AM21" s="32"/>
      <c r="AN21" s="32"/>
      <c r="AO21" s="53"/>
      <c r="AP21" s="21" t="str">
        <f>IFERROR(VLOOKUP(November[[#This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21" t="str">
        <f>IFERROR(VLOOKUP(November[[#This Row],[Drug Name7]],'Data Options'!$R$1:$S$100,2,FALSE), " ")</f>
        <v xml:space="preserve"> </v>
      </c>
      <c r="AZ21" s="32"/>
      <c r="BA21" s="32"/>
      <c r="BB21" s="53"/>
      <c r="BC21" s="21" t="str">
        <f>IFERROR(VLOOKUP(November[[#This Row],[Drug Name8]],'Data Options'!$R$1:$S$100,2,FALSE), " ")</f>
        <v xml:space="preserve"> </v>
      </c>
      <c r="BD21" s="32"/>
      <c r="BE21" s="32"/>
      <c r="BF21" s="53"/>
      <c r="BG21" s="21" t="str">
        <f>IFERROR(VLOOKUP(November[[#This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21" t="str">
        <f>IFERROR(VLOOKUP(November[[#This Row],[Drug Name]],'Data Options'!$R$1:$S$100,2,FALSE), " ")</f>
        <v xml:space="preserve"> </v>
      </c>
      <c r="R22" s="32"/>
      <c r="S22" s="32"/>
      <c r="T22" s="53"/>
      <c r="U22" s="21" t="str">
        <f>IFERROR(VLOOKUP(November[[#This Row],[Drug Name2]],'Data Options'!$R$1:$S$100,2,FALSE), " ")</f>
        <v xml:space="preserve"> </v>
      </c>
      <c r="V22" s="32"/>
      <c r="W22" s="32"/>
      <c r="X22" s="53"/>
      <c r="Y22" s="21" t="str">
        <f>IFERROR(VLOOKUP(November[[#This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21" t="str">
        <f>IFERROR(VLOOKUP(November[[#This Row],[Drug Name4]],'Data Options'!$R$1:$S$100,2,FALSE), " ")</f>
        <v xml:space="preserve"> </v>
      </c>
      <c r="AI22" s="32"/>
      <c r="AJ22" s="32"/>
      <c r="AK22" s="53"/>
      <c r="AL22" s="21" t="str">
        <f>IFERROR(VLOOKUP(November[[#This Row],[Drug Name5]],'Data Options'!$R$1:$S$100,2,FALSE), " ")</f>
        <v xml:space="preserve"> </v>
      </c>
      <c r="AM22" s="32"/>
      <c r="AN22" s="32"/>
      <c r="AO22" s="53"/>
      <c r="AP22" s="21" t="str">
        <f>IFERROR(VLOOKUP(November[[#This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21" t="str">
        <f>IFERROR(VLOOKUP(November[[#This Row],[Drug Name7]],'Data Options'!$R$1:$S$100,2,FALSE), " ")</f>
        <v xml:space="preserve"> </v>
      </c>
      <c r="AZ22" s="32"/>
      <c r="BA22" s="32"/>
      <c r="BB22" s="53"/>
      <c r="BC22" s="21" t="str">
        <f>IFERROR(VLOOKUP(November[[#This Row],[Drug Name8]],'Data Options'!$R$1:$S$100,2,FALSE), " ")</f>
        <v xml:space="preserve"> </v>
      </c>
      <c r="BD22" s="32"/>
      <c r="BE22" s="32"/>
      <c r="BF22" s="53"/>
      <c r="BG22" s="21" t="str">
        <f>IFERROR(VLOOKUP(November[[#This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21" t="str">
        <f>IFERROR(VLOOKUP(November[[#This Row],[Drug Name]],'Data Options'!$R$1:$S$100,2,FALSE), " ")</f>
        <v xml:space="preserve"> </v>
      </c>
      <c r="R23" s="32"/>
      <c r="S23" s="32"/>
      <c r="T23" s="53"/>
      <c r="U23" s="21" t="str">
        <f>IFERROR(VLOOKUP(November[[#This Row],[Drug Name2]],'Data Options'!$R$1:$S$100,2,FALSE), " ")</f>
        <v xml:space="preserve"> </v>
      </c>
      <c r="V23" s="32"/>
      <c r="W23" s="32"/>
      <c r="X23" s="53"/>
      <c r="Y23" s="21" t="str">
        <f>IFERROR(VLOOKUP(November[[#This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21" t="str">
        <f>IFERROR(VLOOKUP(November[[#This Row],[Drug Name4]],'Data Options'!$R$1:$S$100,2,FALSE), " ")</f>
        <v xml:space="preserve"> </v>
      </c>
      <c r="AI23" s="32"/>
      <c r="AJ23" s="32"/>
      <c r="AK23" s="53"/>
      <c r="AL23" s="21" t="str">
        <f>IFERROR(VLOOKUP(November[[#This Row],[Drug Name5]],'Data Options'!$R$1:$S$100,2,FALSE), " ")</f>
        <v xml:space="preserve"> </v>
      </c>
      <c r="AM23" s="32"/>
      <c r="AN23" s="32"/>
      <c r="AO23" s="53"/>
      <c r="AP23" s="21" t="str">
        <f>IFERROR(VLOOKUP(November[[#This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21" t="str">
        <f>IFERROR(VLOOKUP(November[[#This Row],[Drug Name7]],'Data Options'!$R$1:$S$100,2,FALSE), " ")</f>
        <v xml:space="preserve"> </v>
      </c>
      <c r="AZ23" s="32"/>
      <c r="BA23" s="32"/>
      <c r="BB23" s="53"/>
      <c r="BC23" s="21" t="str">
        <f>IFERROR(VLOOKUP(November[[#This Row],[Drug Name8]],'Data Options'!$R$1:$S$100,2,FALSE), " ")</f>
        <v xml:space="preserve"> </v>
      </c>
      <c r="BD23" s="32"/>
      <c r="BE23" s="32"/>
      <c r="BF23" s="53"/>
      <c r="BG23" s="21" t="str">
        <f>IFERROR(VLOOKUP(November[[#This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21" t="str">
        <f>IFERROR(VLOOKUP(November[[#This Row],[Drug Name]],'Data Options'!$R$1:$S$100,2,FALSE), " ")</f>
        <v xml:space="preserve"> </v>
      </c>
      <c r="R24" s="32"/>
      <c r="S24" s="32"/>
      <c r="T24" s="53"/>
      <c r="U24" s="21" t="str">
        <f>IFERROR(VLOOKUP(November[[#This Row],[Drug Name2]],'Data Options'!$R$1:$S$100,2,FALSE), " ")</f>
        <v xml:space="preserve"> </v>
      </c>
      <c r="V24" s="32"/>
      <c r="W24" s="32"/>
      <c r="X24" s="53"/>
      <c r="Y24" s="21" t="str">
        <f>IFERROR(VLOOKUP(November[[#This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21" t="str">
        <f>IFERROR(VLOOKUP(November[[#This Row],[Drug Name4]],'Data Options'!$R$1:$S$100,2,FALSE), " ")</f>
        <v xml:space="preserve"> </v>
      </c>
      <c r="AI24" s="32"/>
      <c r="AJ24" s="32"/>
      <c r="AK24" s="53"/>
      <c r="AL24" s="21" t="str">
        <f>IFERROR(VLOOKUP(November[[#This Row],[Drug Name5]],'Data Options'!$R$1:$S$100,2,FALSE), " ")</f>
        <v xml:space="preserve"> </v>
      </c>
      <c r="AM24" s="32"/>
      <c r="AN24" s="32"/>
      <c r="AO24" s="53"/>
      <c r="AP24" s="21" t="str">
        <f>IFERROR(VLOOKUP(November[[#This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21" t="str">
        <f>IFERROR(VLOOKUP(November[[#This Row],[Drug Name7]],'Data Options'!$R$1:$S$100,2,FALSE), " ")</f>
        <v xml:space="preserve"> </v>
      </c>
      <c r="AZ24" s="32"/>
      <c r="BA24" s="32"/>
      <c r="BB24" s="53"/>
      <c r="BC24" s="21" t="str">
        <f>IFERROR(VLOOKUP(November[[#This Row],[Drug Name8]],'Data Options'!$R$1:$S$100,2,FALSE), " ")</f>
        <v xml:space="preserve"> </v>
      </c>
      <c r="BD24" s="32"/>
      <c r="BE24" s="32"/>
      <c r="BF24" s="53"/>
      <c r="BG24" s="21" t="str">
        <f>IFERROR(VLOOKUP(November[[#This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21" t="str">
        <f>IFERROR(VLOOKUP(November[[#This Row],[Drug Name]],'Data Options'!$R$1:$S$100,2,FALSE), " ")</f>
        <v xml:space="preserve"> </v>
      </c>
      <c r="R25" s="32"/>
      <c r="S25" s="32"/>
      <c r="T25" s="53"/>
      <c r="U25" s="21" t="str">
        <f>IFERROR(VLOOKUP(November[[#This Row],[Drug Name2]],'Data Options'!$R$1:$S$100,2,FALSE), " ")</f>
        <v xml:space="preserve"> </v>
      </c>
      <c r="V25" s="32"/>
      <c r="W25" s="32"/>
      <c r="X25" s="53"/>
      <c r="Y25" s="21" t="str">
        <f>IFERROR(VLOOKUP(November[[#This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21" t="str">
        <f>IFERROR(VLOOKUP(November[[#This Row],[Drug Name4]],'Data Options'!$R$1:$S$100,2,FALSE), " ")</f>
        <v xml:space="preserve"> </v>
      </c>
      <c r="AI25" s="32"/>
      <c r="AJ25" s="32"/>
      <c r="AK25" s="53"/>
      <c r="AL25" s="21" t="str">
        <f>IFERROR(VLOOKUP(November[[#This Row],[Drug Name5]],'Data Options'!$R$1:$S$100,2,FALSE), " ")</f>
        <v xml:space="preserve"> </v>
      </c>
      <c r="AM25" s="32"/>
      <c r="AN25" s="32"/>
      <c r="AO25" s="53"/>
      <c r="AP25" s="21" t="str">
        <f>IFERROR(VLOOKUP(November[[#This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21" t="str">
        <f>IFERROR(VLOOKUP(November[[#This Row],[Drug Name7]],'Data Options'!$R$1:$S$100,2,FALSE), " ")</f>
        <v xml:space="preserve"> </v>
      </c>
      <c r="AZ25" s="32"/>
      <c r="BA25" s="32"/>
      <c r="BB25" s="53"/>
      <c r="BC25" s="21" t="str">
        <f>IFERROR(VLOOKUP(November[[#This Row],[Drug Name8]],'Data Options'!$R$1:$S$100,2,FALSE), " ")</f>
        <v xml:space="preserve"> </v>
      </c>
      <c r="BD25" s="32"/>
      <c r="BE25" s="32"/>
      <c r="BF25" s="53"/>
      <c r="BG25" s="21" t="str">
        <f>IFERROR(VLOOKUP(November[[#This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21" t="str">
        <f>IFERROR(VLOOKUP(November[[#This Row],[Drug Name]],'Data Options'!$R$1:$S$100,2,FALSE), " ")</f>
        <v xml:space="preserve"> </v>
      </c>
      <c r="R26" s="32"/>
      <c r="S26" s="32"/>
      <c r="T26" s="53"/>
      <c r="U26" s="21" t="str">
        <f>IFERROR(VLOOKUP(November[[#This Row],[Drug Name2]],'Data Options'!$R$1:$S$100,2,FALSE), " ")</f>
        <v xml:space="preserve"> </v>
      </c>
      <c r="V26" s="32"/>
      <c r="W26" s="32"/>
      <c r="X26" s="53"/>
      <c r="Y26" s="21" t="str">
        <f>IFERROR(VLOOKUP(November[[#This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21" t="str">
        <f>IFERROR(VLOOKUP(November[[#This Row],[Drug Name4]],'Data Options'!$R$1:$S$100,2,FALSE), " ")</f>
        <v xml:space="preserve"> </v>
      </c>
      <c r="AI26" s="32"/>
      <c r="AJ26" s="32"/>
      <c r="AK26" s="53"/>
      <c r="AL26" s="21" t="str">
        <f>IFERROR(VLOOKUP(November[[#This Row],[Drug Name5]],'Data Options'!$R$1:$S$100,2,FALSE), " ")</f>
        <v xml:space="preserve"> </v>
      </c>
      <c r="AM26" s="32"/>
      <c r="AN26" s="32"/>
      <c r="AO26" s="53"/>
      <c r="AP26" s="21" t="str">
        <f>IFERROR(VLOOKUP(November[[#This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21" t="str">
        <f>IFERROR(VLOOKUP(November[[#This Row],[Drug Name7]],'Data Options'!$R$1:$S$100,2,FALSE), " ")</f>
        <v xml:space="preserve"> </v>
      </c>
      <c r="AZ26" s="32"/>
      <c r="BA26" s="32"/>
      <c r="BB26" s="53"/>
      <c r="BC26" s="21" t="str">
        <f>IFERROR(VLOOKUP(November[[#This Row],[Drug Name8]],'Data Options'!$R$1:$S$100,2,FALSE), " ")</f>
        <v xml:space="preserve"> </v>
      </c>
      <c r="BD26" s="32"/>
      <c r="BE26" s="32"/>
      <c r="BF26" s="53"/>
      <c r="BG26" s="21" t="str">
        <f>IFERROR(VLOOKUP(November[[#This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21" t="str">
        <f>IFERROR(VLOOKUP(November[[#This Row],[Drug Name]],'Data Options'!$R$1:$S$100,2,FALSE), " ")</f>
        <v xml:space="preserve"> </v>
      </c>
      <c r="R27" s="32"/>
      <c r="S27" s="32"/>
      <c r="T27" s="53"/>
      <c r="U27" s="21" t="str">
        <f>IFERROR(VLOOKUP(November[[#This Row],[Drug Name2]],'Data Options'!$R$1:$S$100,2,FALSE), " ")</f>
        <v xml:space="preserve"> </v>
      </c>
      <c r="V27" s="32"/>
      <c r="W27" s="32"/>
      <c r="X27" s="53"/>
      <c r="Y27" s="21" t="str">
        <f>IFERROR(VLOOKUP(November[[#This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21" t="str">
        <f>IFERROR(VLOOKUP(November[[#This Row],[Drug Name4]],'Data Options'!$R$1:$S$100,2,FALSE), " ")</f>
        <v xml:space="preserve"> </v>
      </c>
      <c r="AI27" s="32"/>
      <c r="AJ27" s="32"/>
      <c r="AK27" s="53"/>
      <c r="AL27" s="21" t="str">
        <f>IFERROR(VLOOKUP(November[[#This Row],[Drug Name5]],'Data Options'!$R$1:$S$100,2,FALSE), " ")</f>
        <v xml:space="preserve"> </v>
      </c>
      <c r="AM27" s="32"/>
      <c r="AN27" s="32"/>
      <c r="AO27" s="53"/>
      <c r="AP27" s="21" t="str">
        <f>IFERROR(VLOOKUP(November[[#This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21" t="str">
        <f>IFERROR(VLOOKUP(November[[#This Row],[Drug Name7]],'Data Options'!$R$1:$S$100,2,FALSE), " ")</f>
        <v xml:space="preserve"> </v>
      </c>
      <c r="AZ27" s="32"/>
      <c r="BA27" s="32"/>
      <c r="BB27" s="53"/>
      <c r="BC27" s="21" t="str">
        <f>IFERROR(VLOOKUP(November[[#This Row],[Drug Name8]],'Data Options'!$R$1:$S$100,2,FALSE), " ")</f>
        <v xml:space="preserve"> </v>
      </c>
      <c r="BD27" s="32"/>
      <c r="BE27" s="32"/>
      <c r="BF27" s="53"/>
      <c r="BG27" s="21" t="str">
        <f>IFERROR(VLOOKUP(November[[#This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21" t="str">
        <f>IFERROR(VLOOKUP(November[[#This Row],[Drug Name]],'Data Options'!$R$1:$S$100,2,FALSE), " ")</f>
        <v xml:space="preserve"> </v>
      </c>
      <c r="R28" s="32"/>
      <c r="S28" s="32"/>
      <c r="T28" s="53"/>
      <c r="U28" s="21" t="str">
        <f>IFERROR(VLOOKUP(November[[#This Row],[Drug Name2]],'Data Options'!$R$1:$S$100,2,FALSE), " ")</f>
        <v xml:space="preserve"> </v>
      </c>
      <c r="V28" s="32"/>
      <c r="W28" s="32"/>
      <c r="X28" s="53"/>
      <c r="Y28" s="21" t="str">
        <f>IFERROR(VLOOKUP(November[[#This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21" t="str">
        <f>IFERROR(VLOOKUP(November[[#This Row],[Drug Name4]],'Data Options'!$R$1:$S$100,2,FALSE), " ")</f>
        <v xml:space="preserve"> </v>
      </c>
      <c r="AI28" s="32"/>
      <c r="AJ28" s="32"/>
      <c r="AK28" s="53"/>
      <c r="AL28" s="21" t="str">
        <f>IFERROR(VLOOKUP(November[[#This Row],[Drug Name5]],'Data Options'!$R$1:$S$100,2,FALSE), " ")</f>
        <v xml:space="preserve"> </v>
      </c>
      <c r="AM28" s="32"/>
      <c r="AN28" s="32"/>
      <c r="AO28" s="53"/>
      <c r="AP28" s="21" t="str">
        <f>IFERROR(VLOOKUP(November[[#This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21" t="str">
        <f>IFERROR(VLOOKUP(November[[#This Row],[Drug Name7]],'Data Options'!$R$1:$S$100,2,FALSE), " ")</f>
        <v xml:space="preserve"> </v>
      </c>
      <c r="AZ28" s="32"/>
      <c r="BA28" s="32"/>
      <c r="BB28" s="53"/>
      <c r="BC28" s="21" t="str">
        <f>IFERROR(VLOOKUP(November[[#This Row],[Drug Name8]],'Data Options'!$R$1:$S$100,2,FALSE), " ")</f>
        <v xml:space="preserve"> </v>
      </c>
      <c r="BD28" s="32"/>
      <c r="BE28" s="32"/>
      <c r="BF28" s="53"/>
      <c r="BG28" s="21" t="str">
        <f>IFERROR(VLOOKUP(November[[#This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21" t="str">
        <f>IFERROR(VLOOKUP(November[[#This Row],[Drug Name]],'Data Options'!$R$1:$S$100,2,FALSE), " ")</f>
        <v xml:space="preserve"> </v>
      </c>
      <c r="R29" s="32"/>
      <c r="S29" s="32"/>
      <c r="T29" s="53"/>
      <c r="U29" s="21" t="str">
        <f>IFERROR(VLOOKUP(November[[#This Row],[Drug Name2]],'Data Options'!$R$1:$S$100,2,FALSE), " ")</f>
        <v xml:space="preserve"> </v>
      </c>
      <c r="V29" s="32"/>
      <c r="W29" s="32"/>
      <c r="X29" s="53"/>
      <c r="Y29" s="21" t="str">
        <f>IFERROR(VLOOKUP(November[[#This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21" t="str">
        <f>IFERROR(VLOOKUP(November[[#This Row],[Drug Name4]],'Data Options'!$R$1:$S$100,2,FALSE), " ")</f>
        <v xml:space="preserve"> </v>
      </c>
      <c r="AI29" s="32"/>
      <c r="AJ29" s="32"/>
      <c r="AK29" s="53"/>
      <c r="AL29" s="21" t="str">
        <f>IFERROR(VLOOKUP(November[[#This Row],[Drug Name5]],'Data Options'!$R$1:$S$100,2,FALSE), " ")</f>
        <v xml:space="preserve"> </v>
      </c>
      <c r="AM29" s="32"/>
      <c r="AN29" s="32"/>
      <c r="AO29" s="53"/>
      <c r="AP29" s="21" t="str">
        <f>IFERROR(VLOOKUP(November[[#This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21" t="str">
        <f>IFERROR(VLOOKUP(November[[#This Row],[Drug Name7]],'Data Options'!$R$1:$S$100,2,FALSE), " ")</f>
        <v xml:space="preserve"> </v>
      </c>
      <c r="AZ29" s="32"/>
      <c r="BA29" s="32"/>
      <c r="BB29" s="53"/>
      <c r="BC29" s="21" t="str">
        <f>IFERROR(VLOOKUP(November[[#This Row],[Drug Name8]],'Data Options'!$R$1:$S$100,2,FALSE), " ")</f>
        <v xml:space="preserve"> </v>
      </c>
      <c r="BD29" s="32"/>
      <c r="BE29" s="32"/>
      <c r="BF29" s="53"/>
      <c r="BG29" s="21" t="str">
        <f>IFERROR(VLOOKUP(November[[#This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21" t="str">
        <f>IFERROR(VLOOKUP(November[[#This Row],[Drug Name]],'Data Options'!$R$1:$S$100,2,FALSE), " ")</f>
        <v xml:space="preserve"> </v>
      </c>
      <c r="R30" s="32"/>
      <c r="S30" s="32"/>
      <c r="T30" s="53"/>
      <c r="U30" s="21" t="str">
        <f>IFERROR(VLOOKUP(November[[#This Row],[Drug Name2]],'Data Options'!$R$1:$S$100,2,FALSE), " ")</f>
        <v xml:space="preserve"> </v>
      </c>
      <c r="V30" s="32"/>
      <c r="W30" s="32"/>
      <c r="X30" s="53"/>
      <c r="Y30" s="21" t="str">
        <f>IFERROR(VLOOKUP(November[[#This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21" t="str">
        <f>IFERROR(VLOOKUP(November[[#This Row],[Drug Name4]],'Data Options'!$R$1:$S$100,2,FALSE), " ")</f>
        <v xml:space="preserve"> </v>
      </c>
      <c r="AI30" s="32"/>
      <c r="AJ30" s="32"/>
      <c r="AK30" s="53"/>
      <c r="AL30" s="21" t="str">
        <f>IFERROR(VLOOKUP(November[[#This Row],[Drug Name5]],'Data Options'!$R$1:$S$100,2,FALSE), " ")</f>
        <v xml:space="preserve"> </v>
      </c>
      <c r="AM30" s="32"/>
      <c r="AN30" s="32"/>
      <c r="AO30" s="53"/>
      <c r="AP30" s="21" t="str">
        <f>IFERROR(VLOOKUP(November[[#This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21" t="str">
        <f>IFERROR(VLOOKUP(November[[#This Row],[Drug Name7]],'Data Options'!$R$1:$S$100,2,FALSE), " ")</f>
        <v xml:space="preserve"> </v>
      </c>
      <c r="AZ30" s="32"/>
      <c r="BA30" s="32"/>
      <c r="BB30" s="53"/>
      <c r="BC30" s="21" t="str">
        <f>IFERROR(VLOOKUP(November[[#This Row],[Drug Name8]],'Data Options'!$R$1:$S$100,2,FALSE), " ")</f>
        <v xml:space="preserve"> </v>
      </c>
      <c r="BD30" s="32"/>
      <c r="BE30" s="32"/>
      <c r="BF30" s="53"/>
      <c r="BG30" s="21" t="str">
        <f>IFERROR(VLOOKUP(November[[#This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21" t="str">
        <f>IFERROR(VLOOKUP(November[[#This Row],[Drug Name]],'Data Options'!$R$1:$S$100,2,FALSE), " ")</f>
        <v xml:space="preserve"> </v>
      </c>
      <c r="R31" s="32"/>
      <c r="S31" s="32"/>
      <c r="T31" s="53"/>
      <c r="U31" s="21" t="str">
        <f>IFERROR(VLOOKUP(November[[#This Row],[Drug Name2]],'Data Options'!$R$1:$S$100,2,FALSE), " ")</f>
        <v xml:space="preserve"> </v>
      </c>
      <c r="V31" s="32"/>
      <c r="W31" s="32"/>
      <c r="X31" s="53"/>
      <c r="Y31" s="21" t="str">
        <f>IFERROR(VLOOKUP(November[[#This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21" t="str">
        <f>IFERROR(VLOOKUP(November[[#This Row],[Drug Name4]],'Data Options'!$R$1:$S$100,2,FALSE), " ")</f>
        <v xml:space="preserve"> </v>
      </c>
      <c r="AI31" s="32"/>
      <c r="AJ31" s="32"/>
      <c r="AK31" s="53"/>
      <c r="AL31" s="21" t="str">
        <f>IFERROR(VLOOKUP(November[[#This Row],[Drug Name5]],'Data Options'!$R$1:$S$100,2,FALSE), " ")</f>
        <v xml:space="preserve"> </v>
      </c>
      <c r="AM31" s="32"/>
      <c r="AN31" s="32"/>
      <c r="AO31" s="53"/>
      <c r="AP31" s="21" t="str">
        <f>IFERROR(VLOOKUP(November[[#This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21" t="str">
        <f>IFERROR(VLOOKUP(November[[#This Row],[Drug Name7]],'Data Options'!$R$1:$S$100,2,FALSE), " ")</f>
        <v xml:space="preserve"> </v>
      </c>
      <c r="AZ31" s="32"/>
      <c r="BA31" s="32"/>
      <c r="BB31" s="53"/>
      <c r="BC31" s="21" t="str">
        <f>IFERROR(VLOOKUP(November[[#This Row],[Drug Name8]],'Data Options'!$R$1:$S$100,2,FALSE), " ")</f>
        <v xml:space="preserve"> </v>
      </c>
      <c r="BD31" s="32"/>
      <c r="BE31" s="32"/>
      <c r="BF31" s="53"/>
      <c r="BG31" s="21" t="str">
        <f>IFERROR(VLOOKUP(November[[#This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21" t="str">
        <f>IFERROR(VLOOKUP(November[[#This Row],[Drug Name]],'Data Options'!$R$1:$S$100,2,FALSE), " ")</f>
        <v xml:space="preserve"> </v>
      </c>
      <c r="R32" s="32"/>
      <c r="S32" s="32"/>
      <c r="T32" s="53"/>
      <c r="U32" s="21" t="str">
        <f>IFERROR(VLOOKUP(November[[#This Row],[Drug Name2]],'Data Options'!$R$1:$S$100,2,FALSE), " ")</f>
        <v xml:space="preserve"> </v>
      </c>
      <c r="V32" s="32"/>
      <c r="W32" s="32"/>
      <c r="X32" s="53"/>
      <c r="Y32" s="21" t="str">
        <f>IFERROR(VLOOKUP(November[[#This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21" t="str">
        <f>IFERROR(VLOOKUP(November[[#This Row],[Drug Name4]],'Data Options'!$R$1:$S$100,2,FALSE), " ")</f>
        <v xml:space="preserve"> </v>
      </c>
      <c r="AI32" s="32"/>
      <c r="AJ32" s="32"/>
      <c r="AK32" s="53"/>
      <c r="AL32" s="21" t="str">
        <f>IFERROR(VLOOKUP(November[[#This Row],[Drug Name5]],'Data Options'!$R$1:$S$100,2,FALSE), " ")</f>
        <v xml:space="preserve"> </v>
      </c>
      <c r="AM32" s="32"/>
      <c r="AN32" s="32"/>
      <c r="AO32" s="53"/>
      <c r="AP32" s="21" t="str">
        <f>IFERROR(VLOOKUP(November[[#This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21" t="str">
        <f>IFERROR(VLOOKUP(November[[#This Row],[Drug Name7]],'Data Options'!$R$1:$S$100,2,FALSE), " ")</f>
        <v xml:space="preserve"> </v>
      </c>
      <c r="AZ32" s="32"/>
      <c r="BA32" s="32"/>
      <c r="BB32" s="53"/>
      <c r="BC32" s="21" t="str">
        <f>IFERROR(VLOOKUP(November[[#This Row],[Drug Name8]],'Data Options'!$R$1:$S$100,2,FALSE), " ")</f>
        <v xml:space="preserve"> </v>
      </c>
      <c r="BD32" s="32"/>
      <c r="BE32" s="32"/>
      <c r="BF32" s="53"/>
      <c r="BG32" s="21" t="str">
        <f>IFERROR(VLOOKUP(November[[#This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21" t="str">
        <f>IFERROR(VLOOKUP(November[[#This Row],[Drug Name]],'Data Options'!$R$1:$S$100,2,FALSE), " ")</f>
        <v xml:space="preserve"> </v>
      </c>
      <c r="R33" s="32"/>
      <c r="S33" s="32"/>
      <c r="T33" s="53"/>
      <c r="U33" s="21" t="str">
        <f>IFERROR(VLOOKUP(November[[#This Row],[Drug Name2]],'Data Options'!$R$1:$S$100,2,FALSE), " ")</f>
        <v xml:space="preserve"> </v>
      </c>
      <c r="V33" s="32"/>
      <c r="W33" s="32"/>
      <c r="X33" s="53"/>
      <c r="Y33" s="21" t="str">
        <f>IFERROR(VLOOKUP(November[[#This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21" t="str">
        <f>IFERROR(VLOOKUP(November[[#This Row],[Drug Name4]],'Data Options'!$R$1:$S$100,2,FALSE), " ")</f>
        <v xml:space="preserve"> </v>
      </c>
      <c r="AI33" s="32"/>
      <c r="AJ33" s="32"/>
      <c r="AK33" s="53"/>
      <c r="AL33" s="21" t="str">
        <f>IFERROR(VLOOKUP(November[[#This Row],[Drug Name5]],'Data Options'!$R$1:$S$100,2,FALSE), " ")</f>
        <v xml:space="preserve"> </v>
      </c>
      <c r="AM33" s="32"/>
      <c r="AN33" s="32"/>
      <c r="AO33" s="53"/>
      <c r="AP33" s="21" t="str">
        <f>IFERROR(VLOOKUP(November[[#This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21" t="str">
        <f>IFERROR(VLOOKUP(November[[#This Row],[Drug Name7]],'Data Options'!$R$1:$S$100,2,FALSE), " ")</f>
        <v xml:space="preserve"> </v>
      </c>
      <c r="AZ33" s="32"/>
      <c r="BA33" s="32"/>
      <c r="BB33" s="53"/>
      <c r="BC33" s="21" t="str">
        <f>IFERROR(VLOOKUP(November[[#This Row],[Drug Name8]],'Data Options'!$R$1:$S$100,2,FALSE), " ")</f>
        <v xml:space="preserve"> </v>
      </c>
      <c r="BD33" s="32"/>
      <c r="BE33" s="32"/>
      <c r="BF33" s="53"/>
      <c r="BG33" s="21" t="str">
        <f>IFERROR(VLOOKUP(November[[#This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21" t="str">
        <f>IFERROR(VLOOKUP(November[[#This Row],[Drug Name]],'Data Options'!$R$1:$S$100,2,FALSE), " ")</f>
        <v xml:space="preserve"> </v>
      </c>
      <c r="R34" s="32"/>
      <c r="S34" s="32"/>
      <c r="T34" s="53"/>
      <c r="U34" s="21" t="str">
        <f>IFERROR(VLOOKUP(November[[#This Row],[Drug Name2]],'Data Options'!$R$1:$S$100,2,FALSE), " ")</f>
        <v xml:space="preserve"> </v>
      </c>
      <c r="V34" s="32"/>
      <c r="W34" s="32"/>
      <c r="X34" s="53"/>
      <c r="Y34" s="21" t="str">
        <f>IFERROR(VLOOKUP(November[[#This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21" t="str">
        <f>IFERROR(VLOOKUP(November[[#This Row],[Drug Name4]],'Data Options'!$R$1:$S$100,2,FALSE), " ")</f>
        <v xml:space="preserve"> </v>
      </c>
      <c r="AI34" s="32"/>
      <c r="AJ34" s="32"/>
      <c r="AK34" s="53"/>
      <c r="AL34" s="21" t="str">
        <f>IFERROR(VLOOKUP(November[[#This Row],[Drug Name5]],'Data Options'!$R$1:$S$100,2,FALSE), " ")</f>
        <v xml:space="preserve"> </v>
      </c>
      <c r="AM34" s="32"/>
      <c r="AN34" s="32"/>
      <c r="AO34" s="53"/>
      <c r="AP34" s="21" t="str">
        <f>IFERROR(VLOOKUP(November[[#This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21" t="str">
        <f>IFERROR(VLOOKUP(November[[#This Row],[Drug Name7]],'Data Options'!$R$1:$S$100,2,FALSE), " ")</f>
        <v xml:space="preserve"> </v>
      </c>
      <c r="AZ34" s="32"/>
      <c r="BA34" s="32"/>
      <c r="BB34" s="53"/>
      <c r="BC34" s="21" t="str">
        <f>IFERROR(VLOOKUP(November[[#This Row],[Drug Name8]],'Data Options'!$R$1:$S$100,2,FALSE), " ")</f>
        <v xml:space="preserve"> </v>
      </c>
      <c r="BD34" s="32"/>
      <c r="BE34" s="32"/>
      <c r="BF34" s="53"/>
      <c r="BG34" s="21" t="str">
        <f>IFERROR(VLOOKUP(November[[#This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21" t="str">
        <f>IFERROR(VLOOKUP(November[[#This Row],[Drug Name]],'Data Options'!$R$1:$S$100,2,FALSE), " ")</f>
        <v xml:space="preserve"> </v>
      </c>
      <c r="R35" s="32"/>
      <c r="S35" s="32"/>
      <c r="T35" s="53"/>
      <c r="U35" s="21" t="str">
        <f>IFERROR(VLOOKUP(November[[#This Row],[Drug Name2]],'Data Options'!$R$1:$S$100,2,FALSE), " ")</f>
        <v xml:space="preserve"> </v>
      </c>
      <c r="V35" s="32"/>
      <c r="W35" s="32"/>
      <c r="X35" s="53"/>
      <c r="Y35" s="21" t="str">
        <f>IFERROR(VLOOKUP(November[[#This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21" t="str">
        <f>IFERROR(VLOOKUP(November[[#This Row],[Drug Name4]],'Data Options'!$R$1:$S$100,2,FALSE), " ")</f>
        <v xml:space="preserve"> </v>
      </c>
      <c r="AI35" s="32"/>
      <c r="AJ35" s="32"/>
      <c r="AK35" s="53"/>
      <c r="AL35" s="21" t="str">
        <f>IFERROR(VLOOKUP(November[[#This Row],[Drug Name5]],'Data Options'!$R$1:$S$100,2,FALSE), " ")</f>
        <v xml:space="preserve"> </v>
      </c>
      <c r="AM35" s="32"/>
      <c r="AN35" s="32"/>
      <c r="AO35" s="53"/>
      <c r="AP35" s="21" t="str">
        <f>IFERROR(VLOOKUP(November[[#This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21" t="str">
        <f>IFERROR(VLOOKUP(November[[#This Row],[Drug Name7]],'Data Options'!$R$1:$S$100,2,FALSE), " ")</f>
        <v xml:space="preserve"> </v>
      </c>
      <c r="AZ35" s="32"/>
      <c r="BA35" s="32"/>
      <c r="BB35" s="53"/>
      <c r="BC35" s="21" t="str">
        <f>IFERROR(VLOOKUP(November[[#This Row],[Drug Name8]],'Data Options'!$R$1:$S$100,2,FALSE), " ")</f>
        <v xml:space="preserve"> </v>
      </c>
      <c r="BD35" s="32"/>
      <c r="BE35" s="32"/>
      <c r="BF35" s="53"/>
      <c r="BG35" s="21" t="str">
        <f>IFERROR(VLOOKUP(November[[#This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21" t="str">
        <f>IFERROR(VLOOKUP(November[[#This Row],[Drug Name]],'Data Options'!$R$1:$S$100,2,FALSE), " ")</f>
        <v xml:space="preserve"> </v>
      </c>
      <c r="R36" s="32"/>
      <c r="S36" s="32"/>
      <c r="T36" s="53"/>
      <c r="U36" s="21" t="str">
        <f>IFERROR(VLOOKUP(November[[#This Row],[Drug Name2]],'Data Options'!$R$1:$S$100,2,FALSE), " ")</f>
        <v xml:space="preserve"> </v>
      </c>
      <c r="V36" s="32"/>
      <c r="W36" s="32"/>
      <c r="X36" s="53"/>
      <c r="Y36" s="21" t="str">
        <f>IFERROR(VLOOKUP(November[[#This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21" t="str">
        <f>IFERROR(VLOOKUP(November[[#This Row],[Drug Name4]],'Data Options'!$R$1:$S$100,2,FALSE), " ")</f>
        <v xml:space="preserve"> </v>
      </c>
      <c r="AI36" s="32"/>
      <c r="AJ36" s="32"/>
      <c r="AK36" s="53"/>
      <c r="AL36" s="21" t="str">
        <f>IFERROR(VLOOKUP(November[[#This Row],[Drug Name5]],'Data Options'!$R$1:$S$100,2,FALSE), " ")</f>
        <v xml:space="preserve"> </v>
      </c>
      <c r="AM36" s="32"/>
      <c r="AN36" s="32"/>
      <c r="AO36" s="53"/>
      <c r="AP36" s="21" t="str">
        <f>IFERROR(VLOOKUP(November[[#This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21" t="str">
        <f>IFERROR(VLOOKUP(November[[#This Row],[Drug Name7]],'Data Options'!$R$1:$S$100,2,FALSE), " ")</f>
        <v xml:space="preserve"> </v>
      </c>
      <c r="AZ36" s="32"/>
      <c r="BA36" s="32"/>
      <c r="BB36" s="53"/>
      <c r="BC36" s="21" t="str">
        <f>IFERROR(VLOOKUP(November[[#This Row],[Drug Name8]],'Data Options'!$R$1:$S$100,2,FALSE), " ")</f>
        <v xml:space="preserve"> </v>
      </c>
      <c r="BD36" s="32"/>
      <c r="BE36" s="32"/>
      <c r="BF36" s="53"/>
      <c r="BG36" s="21" t="str">
        <f>IFERROR(VLOOKUP(November[[#This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21" t="str">
        <f>IFERROR(VLOOKUP(November[[#This Row],[Drug Name]],'Data Options'!$R$1:$S$100,2,FALSE), " ")</f>
        <v xml:space="preserve"> </v>
      </c>
      <c r="R37" s="32"/>
      <c r="S37" s="32"/>
      <c r="T37" s="53"/>
      <c r="U37" s="21" t="str">
        <f>IFERROR(VLOOKUP(November[[#This Row],[Drug Name2]],'Data Options'!$R$1:$S$100,2,FALSE), " ")</f>
        <v xml:space="preserve"> </v>
      </c>
      <c r="V37" s="32"/>
      <c r="W37" s="32"/>
      <c r="X37" s="53"/>
      <c r="Y37" s="21" t="str">
        <f>IFERROR(VLOOKUP(November[[#This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21" t="str">
        <f>IFERROR(VLOOKUP(November[[#This Row],[Drug Name4]],'Data Options'!$R$1:$S$100,2,FALSE), " ")</f>
        <v xml:space="preserve"> </v>
      </c>
      <c r="AI37" s="32"/>
      <c r="AJ37" s="32"/>
      <c r="AK37" s="53"/>
      <c r="AL37" s="21" t="str">
        <f>IFERROR(VLOOKUP(November[[#This Row],[Drug Name5]],'Data Options'!$R$1:$S$100,2,FALSE), " ")</f>
        <v xml:space="preserve"> </v>
      </c>
      <c r="AM37" s="32"/>
      <c r="AN37" s="32"/>
      <c r="AO37" s="53"/>
      <c r="AP37" s="21" t="str">
        <f>IFERROR(VLOOKUP(November[[#This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21" t="str">
        <f>IFERROR(VLOOKUP(November[[#This Row],[Drug Name7]],'Data Options'!$R$1:$S$100,2,FALSE), " ")</f>
        <v xml:space="preserve"> </v>
      </c>
      <c r="AZ37" s="32"/>
      <c r="BA37" s="32"/>
      <c r="BB37" s="53"/>
      <c r="BC37" s="21" t="str">
        <f>IFERROR(VLOOKUP(November[[#This Row],[Drug Name8]],'Data Options'!$R$1:$S$100,2,FALSE), " ")</f>
        <v xml:space="preserve"> </v>
      </c>
      <c r="BD37" s="32"/>
      <c r="BE37" s="32"/>
      <c r="BF37" s="53"/>
      <c r="BG37" s="21" t="str">
        <f>IFERROR(VLOOKUP(November[[#This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21" t="str">
        <f>IFERROR(VLOOKUP(November[[#This Row],[Drug Name]],'Data Options'!$R$1:$S$100,2,FALSE), " ")</f>
        <v xml:space="preserve"> </v>
      </c>
      <c r="R38" s="32"/>
      <c r="S38" s="32"/>
      <c r="T38" s="53"/>
      <c r="U38" s="21" t="str">
        <f>IFERROR(VLOOKUP(November[[#This Row],[Drug Name2]],'Data Options'!$R$1:$S$100,2,FALSE), " ")</f>
        <v xml:space="preserve"> </v>
      </c>
      <c r="V38" s="32"/>
      <c r="W38" s="32"/>
      <c r="X38" s="53"/>
      <c r="Y38" s="21" t="str">
        <f>IFERROR(VLOOKUP(November[[#This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21" t="str">
        <f>IFERROR(VLOOKUP(November[[#This Row],[Drug Name4]],'Data Options'!$R$1:$S$100,2,FALSE), " ")</f>
        <v xml:space="preserve"> </v>
      </c>
      <c r="AI38" s="32"/>
      <c r="AJ38" s="32"/>
      <c r="AK38" s="53"/>
      <c r="AL38" s="21" t="str">
        <f>IFERROR(VLOOKUP(November[[#This Row],[Drug Name5]],'Data Options'!$R$1:$S$100,2,FALSE), " ")</f>
        <v xml:space="preserve"> </v>
      </c>
      <c r="AM38" s="32"/>
      <c r="AN38" s="32"/>
      <c r="AO38" s="53"/>
      <c r="AP38" s="21" t="str">
        <f>IFERROR(VLOOKUP(November[[#This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21" t="str">
        <f>IFERROR(VLOOKUP(November[[#This Row],[Drug Name7]],'Data Options'!$R$1:$S$100,2,FALSE), " ")</f>
        <v xml:space="preserve"> </v>
      </c>
      <c r="AZ38" s="32"/>
      <c r="BA38" s="32"/>
      <c r="BB38" s="53"/>
      <c r="BC38" s="21" t="str">
        <f>IFERROR(VLOOKUP(November[[#This Row],[Drug Name8]],'Data Options'!$R$1:$S$100,2,FALSE), " ")</f>
        <v xml:space="preserve"> </v>
      </c>
      <c r="BD38" s="32"/>
      <c r="BE38" s="32"/>
      <c r="BF38" s="53"/>
      <c r="BG38" s="21" t="str">
        <f>IFERROR(VLOOKUP(November[[#This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21" t="str">
        <f>IFERROR(VLOOKUP(November[[#This Row],[Drug Name]],'Data Options'!$R$1:$S$100,2,FALSE), " ")</f>
        <v xml:space="preserve"> </v>
      </c>
      <c r="R39" s="32"/>
      <c r="S39" s="32"/>
      <c r="T39" s="53"/>
      <c r="U39" s="21" t="str">
        <f>IFERROR(VLOOKUP(November[[#This Row],[Drug Name2]],'Data Options'!$R$1:$S$100,2,FALSE), " ")</f>
        <v xml:space="preserve"> </v>
      </c>
      <c r="V39" s="32"/>
      <c r="W39" s="32"/>
      <c r="X39" s="53"/>
      <c r="Y39" s="21" t="str">
        <f>IFERROR(VLOOKUP(November[[#This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21" t="str">
        <f>IFERROR(VLOOKUP(November[[#This Row],[Drug Name4]],'Data Options'!$R$1:$S$100,2,FALSE), " ")</f>
        <v xml:space="preserve"> </v>
      </c>
      <c r="AI39" s="32"/>
      <c r="AJ39" s="32"/>
      <c r="AK39" s="53"/>
      <c r="AL39" s="21" t="str">
        <f>IFERROR(VLOOKUP(November[[#This Row],[Drug Name5]],'Data Options'!$R$1:$S$100,2,FALSE), " ")</f>
        <v xml:space="preserve"> </v>
      </c>
      <c r="AM39" s="32"/>
      <c r="AN39" s="32"/>
      <c r="AO39" s="53"/>
      <c r="AP39" s="21" t="str">
        <f>IFERROR(VLOOKUP(November[[#This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21" t="str">
        <f>IFERROR(VLOOKUP(November[[#This Row],[Drug Name7]],'Data Options'!$R$1:$S$100,2,FALSE), " ")</f>
        <v xml:space="preserve"> </v>
      </c>
      <c r="AZ39" s="32"/>
      <c r="BA39" s="32"/>
      <c r="BB39" s="53"/>
      <c r="BC39" s="21" t="str">
        <f>IFERROR(VLOOKUP(November[[#This Row],[Drug Name8]],'Data Options'!$R$1:$S$100,2,FALSE), " ")</f>
        <v xml:space="preserve"> </v>
      </c>
      <c r="BD39" s="32"/>
      <c r="BE39" s="32"/>
      <c r="BF39" s="53"/>
      <c r="BG39" s="21" t="str">
        <f>IFERROR(VLOOKUP(November[[#This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21" t="str">
        <f>IFERROR(VLOOKUP(November[[#This Row],[Drug Name]],'Data Options'!$R$1:$S$100,2,FALSE), " ")</f>
        <v xml:space="preserve"> </v>
      </c>
      <c r="R40" s="32"/>
      <c r="S40" s="32"/>
      <c r="T40" s="53"/>
      <c r="U40" s="21" t="str">
        <f>IFERROR(VLOOKUP(November[[#This Row],[Drug Name2]],'Data Options'!$R$1:$S$100,2,FALSE), " ")</f>
        <v xml:space="preserve"> </v>
      </c>
      <c r="V40" s="32"/>
      <c r="W40" s="32"/>
      <c r="X40" s="53"/>
      <c r="Y40" s="21" t="str">
        <f>IFERROR(VLOOKUP(November[[#This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21" t="str">
        <f>IFERROR(VLOOKUP(November[[#This Row],[Drug Name4]],'Data Options'!$R$1:$S$100,2,FALSE), " ")</f>
        <v xml:space="preserve"> </v>
      </c>
      <c r="AI40" s="32"/>
      <c r="AJ40" s="32"/>
      <c r="AK40" s="53"/>
      <c r="AL40" s="21" t="str">
        <f>IFERROR(VLOOKUP(November[[#This Row],[Drug Name5]],'Data Options'!$R$1:$S$100,2,FALSE), " ")</f>
        <v xml:space="preserve"> </v>
      </c>
      <c r="AM40" s="32"/>
      <c r="AN40" s="32"/>
      <c r="AO40" s="53"/>
      <c r="AP40" s="21" t="str">
        <f>IFERROR(VLOOKUP(November[[#This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21" t="str">
        <f>IFERROR(VLOOKUP(November[[#This Row],[Drug Name7]],'Data Options'!$R$1:$S$100,2,FALSE), " ")</f>
        <v xml:space="preserve"> </v>
      </c>
      <c r="AZ40" s="32"/>
      <c r="BA40" s="32"/>
      <c r="BB40" s="53"/>
      <c r="BC40" s="21" t="str">
        <f>IFERROR(VLOOKUP(November[[#This Row],[Drug Name8]],'Data Options'!$R$1:$S$100,2,FALSE), " ")</f>
        <v xml:space="preserve"> </v>
      </c>
      <c r="BD40" s="32"/>
      <c r="BE40" s="32"/>
      <c r="BF40" s="53"/>
      <c r="BG40" s="21" t="str">
        <f>IFERROR(VLOOKUP(November[[#This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21" t="str">
        <f>IFERROR(VLOOKUP(November[[#This Row],[Drug Name]],'Data Options'!$R$1:$S$100,2,FALSE), " ")</f>
        <v xml:space="preserve"> </v>
      </c>
      <c r="R41" s="32"/>
      <c r="S41" s="32"/>
      <c r="T41" s="53"/>
      <c r="U41" s="21" t="str">
        <f>IFERROR(VLOOKUP(November[[#This Row],[Drug Name2]],'Data Options'!$R$1:$S$100,2,FALSE), " ")</f>
        <v xml:space="preserve"> </v>
      </c>
      <c r="V41" s="32"/>
      <c r="W41" s="32"/>
      <c r="X41" s="53"/>
      <c r="Y41" s="21" t="str">
        <f>IFERROR(VLOOKUP(November[[#This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21" t="str">
        <f>IFERROR(VLOOKUP(November[[#This Row],[Drug Name4]],'Data Options'!$R$1:$S$100,2,FALSE), " ")</f>
        <v xml:space="preserve"> </v>
      </c>
      <c r="AI41" s="32"/>
      <c r="AJ41" s="32"/>
      <c r="AK41" s="53"/>
      <c r="AL41" s="21" t="str">
        <f>IFERROR(VLOOKUP(November[[#This Row],[Drug Name5]],'Data Options'!$R$1:$S$100,2,FALSE), " ")</f>
        <v xml:space="preserve"> </v>
      </c>
      <c r="AM41" s="32"/>
      <c r="AN41" s="32"/>
      <c r="AO41" s="53"/>
      <c r="AP41" s="21" t="str">
        <f>IFERROR(VLOOKUP(November[[#This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21" t="str">
        <f>IFERROR(VLOOKUP(November[[#This Row],[Drug Name7]],'Data Options'!$R$1:$S$100,2,FALSE), " ")</f>
        <v xml:space="preserve"> </v>
      </c>
      <c r="AZ41" s="32"/>
      <c r="BA41" s="32"/>
      <c r="BB41" s="53"/>
      <c r="BC41" s="21" t="str">
        <f>IFERROR(VLOOKUP(November[[#This Row],[Drug Name8]],'Data Options'!$R$1:$S$100,2,FALSE), " ")</f>
        <v xml:space="preserve"> </v>
      </c>
      <c r="BD41" s="32"/>
      <c r="BE41" s="32"/>
      <c r="BF41" s="53"/>
      <c r="BG41" s="21" t="str">
        <f>IFERROR(VLOOKUP(November[[#This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21" t="str">
        <f>IFERROR(VLOOKUP(November[[#This Row],[Drug Name]],'Data Options'!$R$1:$S$100,2,FALSE), " ")</f>
        <v xml:space="preserve"> </v>
      </c>
      <c r="R42" s="32"/>
      <c r="S42" s="32"/>
      <c r="T42" s="53"/>
      <c r="U42" s="21" t="str">
        <f>IFERROR(VLOOKUP(November[[#This Row],[Drug Name2]],'Data Options'!$R$1:$S$100,2,FALSE), " ")</f>
        <v xml:space="preserve"> </v>
      </c>
      <c r="V42" s="32"/>
      <c r="W42" s="32"/>
      <c r="X42" s="53"/>
      <c r="Y42" s="21" t="str">
        <f>IFERROR(VLOOKUP(November[[#This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21" t="str">
        <f>IFERROR(VLOOKUP(November[[#This Row],[Drug Name4]],'Data Options'!$R$1:$S$100,2,FALSE), " ")</f>
        <v xml:space="preserve"> </v>
      </c>
      <c r="AI42" s="32"/>
      <c r="AJ42" s="32"/>
      <c r="AK42" s="53"/>
      <c r="AL42" s="21" t="str">
        <f>IFERROR(VLOOKUP(November[[#This Row],[Drug Name5]],'Data Options'!$R$1:$S$100,2,FALSE), " ")</f>
        <v xml:space="preserve"> </v>
      </c>
      <c r="AM42" s="32"/>
      <c r="AN42" s="32"/>
      <c r="AO42" s="53"/>
      <c r="AP42" s="21" t="str">
        <f>IFERROR(VLOOKUP(November[[#This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21" t="str">
        <f>IFERROR(VLOOKUP(November[[#This Row],[Drug Name7]],'Data Options'!$R$1:$S$100,2,FALSE), " ")</f>
        <v xml:space="preserve"> </v>
      </c>
      <c r="AZ42" s="32"/>
      <c r="BA42" s="32"/>
      <c r="BB42" s="53"/>
      <c r="BC42" s="21" t="str">
        <f>IFERROR(VLOOKUP(November[[#This Row],[Drug Name8]],'Data Options'!$R$1:$S$100,2,FALSE), " ")</f>
        <v xml:space="preserve"> </v>
      </c>
      <c r="BD42" s="32"/>
      <c r="BE42" s="32"/>
      <c r="BF42" s="53"/>
      <c r="BG42" s="21" t="str">
        <f>IFERROR(VLOOKUP(November[[#This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21" t="str">
        <f>IFERROR(VLOOKUP(November[[#This Row],[Drug Name]],'Data Options'!$R$1:$S$100,2,FALSE), " ")</f>
        <v xml:space="preserve"> </v>
      </c>
      <c r="R43" s="32"/>
      <c r="S43" s="32"/>
      <c r="T43" s="53"/>
      <c r="U43" s="21" t="str">
        <f>IFERROR(VLOOKUP(November[[#This Row],[Drug Name2]],'Data Options'!$R$1:$S$100,2,FALSE), " ")</f>
        <v xml:space="preserve"> </v>
      </c>
      <c r="V43" s="32"/>
      <c r="W43" s="32"/>
      <c r="X43" s="53"/>
      <c r="Y43" s="21" t="str">
        <f>IFERROR(VLOOKUP(November[[#This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21" t="str">
        <f>IFERROR(VLOOKUP(November[[#This Row],[Drug Name4]],'Data Options'!$R$1:$S$100,2,FALSE), " ")</f>
        <v xml:space="preserve"> </v>
      </c>
      <c r="AI43" s="32"/>
      <c r="AJ43" s="32"/>
      <c r="AK43" s="53"/>
      <c r="AL43" s="21" t="str">
        <f>IFERROR(VLOOKUP(November[[#This Row],[Drug Name5]],'Data Options'!$R$1:$S$100,2,FALSE), " ")</f>
        <v xml:space="preserve"> </v>
      </c>
      <c r="AM43" s="32"/>
      <c r="AN43" s="32"/>
      <c r="AO43" s="53"/>
      <c r="AP43" s="21" t="str">
        <f>IFERROR(VLOOKUP(November[[#This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21" t="str">
        <f>IFERROR(VLOOKUP(November[[#This Row],[Drug Name7]],'Data Options'!$R$1:$S$100,2,FALSE), " ")</f>
        <v xml:space="preserve"> </v>
      </c>
      <c r="AZ43" s="32"/>
      <c r="BA43" s="32"/>
      <c r="BB43" s="53"/>
      <c r="BC43" s="21" t="str">
        <f>IFERROR(VLOOKUP(November[[#This Row],[Drug Name8]],'Data Options'!$R$1:$S$100,2,FALSE), " ")</f>
        <v xml:space="preserve"> </v>
      </c>
      <c r="BD43" s="32"/>
      <c r="BE43" s="32"/>
      <c r="BF43" s="53"/>
      <c r="BG43" s="21" t="str">
        <f>IFERROR(VLOOKUP(November[[#This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21" t="str">
        <f>IFERROR(VLOOKUP(November[[#This Row],[Drug Name]],'Data Options'!$R$1:$S$100,2,FALSE), " ")</f>
        <v xml:space="preserve"> </v>
      </c>
      <c r="R44" s="32"/>
      <c r="S44" s="32"/>
      <c r="T44" s="53"/>
      <c r="U44" s="21" t="str">
        <f>IFERROR(VLOOKUP(November[[#This Row],[Drug Name2]],'Data Options'!$R$1:$S$100,2,FALSE), " ")</f>
        <v xml:space="preserve"> </v>
      </c>
      <c r="V44" s="32"/>
      <c r="W44" s="32"/>
      <c r="X44" s="53"/>
      <c r="Y44" s="21" t="str">
        <f>IFERROR(VLOOKUP(November[[#This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21" t="str">
        <f>IFERROR(VLOOKUP(November[[#This Row],[Drug Name4]],'Data Options'!$R$1:$S$100,2,FALSE), " ")</f>
        <v xml:space="preserve"> </v>
      </c>
      <c r="AI44" s="32"/>
      <c r="AJ44" s="32"/>
      <c r="AK44" s="53"/>
      <c r="AL44" s="21" t="str">
        <f>IFERROR(VLOOKUP(November[[#This Row],[Drug Name5]],'Data Options'!$R$1:$S$100,2,FALSE), " ")</f>
        <v xml:space="preserve"> </v>
      </c>
      <c r="AM44" s="32"/>
      <c r="AN44" s="32"/>
      <c r="AO44" s="53"/>
      <c r="AP44" s="21" t="str">
        <f>IFERROR(VLOOKUP(November[[#This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21" t="str">
        <f>IFERROR(VLOOKUP(November[[#This Row],[Drug Name7]],'Data Options'!$R$1:$S$100,2,FALSE), " ")</f>
        <v xml:space="preserve"> </v>
      </c>
      <c r="AZ44" s="32"/>
      <c r="BA44" s="32"/>
      <c r="BB44" s="53"/>
      <c r="BC44" s="21" t="str">
        <f>IFERROR(VLOOKUP(November[[#This Row],[Drug Name8]],'Data Options'!$R$1:$S$100,2,FALSE), " ")</f>
        <v xml:space="preserve"> </v>
      </c>
      <c r="BD44" s="32"/>
      <c r="BE44" s="32"/>
      <c r="BF44" s="53"/>
      <c r="BG44" s="21" t="str">
        <f>IFERROR(VLOOKUP(November[[#This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21" t="str">
        <f>IFERROR(VLOOKUP(November[[#This Row],[Drug Name]],'Data Options'!$R$1:$S$100,2,FALSE), " ")</f>
        <v xml:space="preserve"> </v>
      </c>
      <c r="R45" s="32"/>
      <c r="S45" s="32"/>
      <c r="T45" s="53"/>
      <c r="U45" s="21" t="str">
        <f>IFERROR(VLOOKUP(November[[#This Row],[Drug Name2]],'Data Options'!$R$1:$S$100,2,FALSE), " ")</f>
        <v xml:space="preserve"> </v>
      </c>
      <c r="V45" s="32"/>
      <c r="W45" s="32"/>
      <c r="X45" s="53"/>
      <c r="Y45" s="21" t="str">
        <f>IFERROR(VLOOKUP(November[[#This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21" t="str">
        <f>IFERROR(VLOOKUP(November[[#This Row],[Drug Name4]],'Data Options'!$R$1:$S$100,2,FALSE), " ")</f>
        <v xml:space="preserve"> </v>
      </c>
      <c r="AI45" s="32"/>
      <c r="AJ45" s="32"/>
      <c r="AK45" s="53"/>
      <c r="AL45" s="21" t="str">
        <f>IFERROR(VLOOKUP(November[[#This Row],[Drug Name5]],'Data Options'!$R$1:$S$100,2,FALSE), " ")</f>
        <v xml:space="preserve"> </v>
      </c>
      <c r="AM45" s="32"/>
      <c r="AN45" s="32"/>
      <c r="AO45" s="53"/>
      <c r="AP45" s="21" t="str">
        <f>IFERROR(VLOOKUP(November[[#This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21" t="str">
        <f>IFERROR(VLOOKUP(November[[#This Row],[Drug Name7]],'Data Options'!$R$1:$S$100,2,FALSE), " ")</f>
        <v xml:space="preserve"> </v>
      </c>
      <c r="AZ45" s="32"/>
      <c r="BA45" s="32"/>
      <c r="BB45" s="53"/>
      <c r="BC45" s="21" t="str">
        <f>IFERROR(VLOOKUP(November[[#This Row],[Drug Name8]],'Data Options'!$R$1:$S$100,2,FALSE), " ")</f>
        <v xml:space="preserve"> </v>
      </c>
      <c r="BD45" s="32"/>
      <c r="BE45" s="32"/>
      <c r="BF45" s="53"/>
      <c r="BG45" s="21" t="str">
        <f>IFERROR(VLOOKUP(November[[#This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21" t="str">
        <f>IFERROR(VLOOKUP(November[[#This Row],[Drug Name]],'Data Options'!$R$1:$S$100,2,FALSE), " ")</f>
        <v xml:space="preserve"> </v>
      </c>
      <c r="R46" s="32"/>
      <c r="S46" s="32"/>
      <c r="T46" s="53"/>
      <c r="U46" s="21" t="str">
        <f>IFERROR(VLOOKUP(November[[#This Row],[Drug Name2]],'Data Options'!$R$1:$S$100,2,FALSE), " ")</f>
        <v xml:space="preserve"> </v>
      </c>
      <c r="V46" s="32"/>
      <c r="W46" s="32"/>
      <c r="X46" s="53"/>
      <c r="Y46" s="21" t="str">
        <f>IFERROR(VLOOKUP(November[[#This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21" t="str">
        <f>IFERROR(VLOOKUP(November[[#This Row],[Drug Name4]],'Data Options'!$R$1:$S$100,2,FALSE), " ")</f>
        <v xml:space="preserve"> </v>
      </c>
      <c r="AI46" s="32"/>
      <c r="AJ46" s="32"/>
      <c r="AK46" s="53"/>
      <c r="AL46" s="21" t="str">
        <f>IFERROR(VLOOKUP(November[[#This Row],[Drug Name5]],'Data Options'!$R$1:$S$100,2,FALSE), " ")</f>
        <v xml:space="preserve"> </v>
      </c>
      <c r="AM46" s="32"/>
      <c r="AN46" s="32"/>
      <c r="AO46" s="53"/>
      <c r="AP46" s="21" t="str">
        <f>IFERROR(VLOOKUP(November[[#This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21" t="str">
        <f>IFERROR(VLOOKUP(November[[#This Row],[Drug Name7]],'Data Options'!$R$1:$S$100,2,FALSE), " ")</f>
        <v xml:space="preserve"> </v>
      </c>
      <c r="AZ46" s="32"/>
      <c r="BA46" s="32"/>
      <c r="BB46" s="53"/>
      <c r="BC46" s="21" t="str">
        <f>IFERROR(VLOOKUP(November[[#This Row],[Drug Name8]],'Data Options'!$R$1:$S$100,2,FALSE), " ")</f>
        <v xml:space="preserve"> </v>
      </c>
      <c r="BD46" s="32"/>
      <c r="BE46" s="32"/>
      <c r="BF46" s="53"/>
      <c r="BG46" s="21" t="str">
        <f>IFERROR(VLOOKUP(November[[#This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21" t="str">
        <f>IFERROR(VLOOKUP(November[[#This Row],[Drug Name]],'Data Options'!$R$1:$S$100,2,FALSE), " ")</f>
        <v xml:space="preserve"> </v>
      </c>
      <c r="R47" s="32"/>
      <c r="S47" s="32"/>
      <c r="T47" s="53"/>
      <c r="U47" s="21" t="str">
        <f>IFERROR(VLOOKUP(November[[#This Row],[Drug Name2]],'Data Options'!$R$1:$S$100,2,FALSE), " ")</f>
        <v xml:space="preserve"> </v>
      </c>
      <c r="V47" s="32"/>
      <c r="W47" s="32"/>
      <c r="X47" s="53"/>
      <c r="Y47" s="21" t="str">
        <f>IFERROR(VLOOKUP(November[[#This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21" t="str">
        <f>IFERROR(VLOOKUP(November[[#This Row],[Drug Name4]],'Data Options'!$R$1:$S$100,2,FALSE), " ")</f>
        <v xml:space="preserve"> </v>
      </c>
      <c r="AI47" s="32"/>
      <c r="AJ47" s="32"/>
      <c r="AK47" s="53"/>
      <c r="AL47" s="21" t="str">
        <f>IFERROR(VLOOKUP(November[[#This Row],[Drug Name5]],'Data Options'!$R$1:$S$100,2,FALSE), " ")</f>
        <v xml:space="preserve"> </v>
      </c>
      <c r="AM47" s="32"/>
      <c r="AN47" s="32"/>
      <c r="AO47" s="53"/>
      <c r="AP47" s="21" t="str">
        <f>IFERROR(VLOOKUP(November[[#This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21" t="str">
        <f>IFERROR(VLOOKUP(November[[#This Row],[Drug Name7]],'Data Options'!$R$1:$S$100,2,FALSE), " ")</f>
        <v xml:space="preserve"> </v>
      </c>
      <c r="AZ47" s="32"/>
      <c r="BA47" s="32"/>
      <c r="BB47" s="53"/>
      <c r="BC47" s="21" t="str">
        <f>IFERROR(VLOOKUP(November[[#This Row],[Drug Name8]],'Data Options'!$R$1:$S$100,2,FALSE), " ")</f>
        <v xml:space="preserve"> </v>
      </c>
      <c r="BD47" s="32"/>
      <c r="BE47" s="32"/>
      <c r="BF47" s="53"/>
      <c r="BG47" s="21" t="str">
        <f>IFERROR(VLOOKUP(November[[#This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21" t="str">
        <f>IFERROR(VLOOKUP(November[[#This Row],[Drug Name]],'Data Options'!$R$1:$S$100,2,FALSE), " ")</f>
        <v xml:space="preserve"> </v>
      </c>
      <c r="R48" s="32"/>
      <c r="S48" s="32"/>
      <c r="T48" s="53"/>
      <c r="U48" s="21" t="str">
        <f>IFERROR(VLOOKUP(November[[#This Row],[Drug Name2]],'Data Options'!$R$1:$S$100,2,FALSE), " ")</f>
        <v xml:space="preserve"> </v>
      </c>
      <c r="V48" s="32"/>
      <c r="W48" s="32"/>
      <c r="X48" s="53"/>
      <c r="Y48" s="21" t="str">
        <f>IFERROR(VLOOKUP(November[[#This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21" t="str">
        <f>IFERROR(VLOOKUP(November[[#This Row],[Drug Name4]],'Data Options'!$R$1:$S$100,2,FALSE), " ")</f>
        <v xml:space="preserve"> </v>
      </c>
      <c r="AI48" s="32"/>
      <c r="AJ48" s="32"/>
      <c r="AK48" s="53"/>
      <c r="AL48" s="21" t="str">
        <f>IFERROR(VLOOKUP(November[[#This Row],[Drug Name5]],'Data Options'!$R$1:$S$100,2,FALSE), " ")</f>
        <v xml:space="preserve"> </v>
      </c>
      <c r="AM48" s="32"/>
      <c r="AN48" s="32"/>
      <c r="AO48" s="53"/>
      <c r="AP48" s="21" t="str">
        <f>IFERROR(VLOOKUP(November[[#This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21" t="str">
        <f>IFERROR(VLOOKUP(November[[#This Row],[Drug Name7]],'Data Options'!$R$1:$S$100,2,FALSE), " ")</f>
        <v xml:space="preserve"> </v>
      </c>
      <c r="AZ48" s="32"/>
      <c r="BA48" s="32"/>
      <c r="BB48" s="53"/>
      <c r="BC48" s="21" t="str">
        <f>IFERROR(VLOOKUP(November[[#This Row],[Drug Name8]],'Data Options'!$R$1:$S$100,2,FALSE), " ")</f>
        <v xml:space="preserve"> </v>
      </c>
      <c r="BD48" s="32"/>
      <c r="BE48" s="32"/>
      <c r="BF48" s="53"/>
      <c r="BG48" s="21" t="str">
        <f>IFERROR(VLOOKUP(November[[#This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21" t="str">
        <f>IFERROR(VLOOKUP(November[[#This Row],[Drug Name]],'Data Options'!$R$1:$S$100,2,FALSE), " ")</f>
        <v xml:space="preserve"> </v>
      </c>
      <c r="R49" s="32"/>
      <c r="S49" s="32"/>
      <c r="T49" s="53"/>
      <c r="U49" s="21" t="str">
        <f>IFERROR(VLOOKUP(November[[#This Row],[Drug Name2]],'Data Options'!$R$1:$S$100,2,FALSE), " ")</f>
        <v xml:space="preserve"> </v>
      </c>
      <c r="V49" s="32"/>
      <c r="W49" s="32"/>
      <c r="X49" s="53"/>
      <c r="Y49" s="21" t="str">
        <f>IFERROR(VLOOKUP(November[[#This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21" t="str">
        <f>IFERROR(VLOOKUP(November[[#This Row],[Drug Name4]],'Data Options'!$R$1:$S$100,2,FALSE), " ")</f>
        <v xml:space="preserve"> </v>
      </c>
      <c r="AI49" s="32"/>
      <c r="AJ49" s="32"/>
      <c r="AK49" s="53"/>
      <c r="AL49" s="21" t="str">
        <f>IFERROR(VLOOKUP(November[[#This Row],[Drug Name5]],'Data Options'!$R$1:$S$100,2,FALSE), " ")</f>
        <v xml:space="preserve"> </v>
      </c>
      <c r="AM49" s="32"/>
      <c r="AN49" s="32"/>
      <c r="AO49" s="53"/>
      <c r="AP49" s="21" t="str">
        <f>IFERROR(VLOOKUP(November[[#This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21" t="str">
        <f>IFERROR(VLOOKUP(November[[#This Row],[Drug Name7]],'Data Options'!$R$1:$S$100,2,FALSE), " ")</f>
        <v xml:space="preserve"> </v>
      </c>
      <c r="AZ49" s="32"/>
      <c r="BA49" s="32"/>
      <c r="BB49" s="53"/>
      <c r="BC49" s="21" t="str">
        <f>IFERROR(VLOOKUP(November[[#This Row],[Drug Name8]],'Data Options'!$R$1:$S$100,2,FALSE), " ")</f>
        <v xml:space="preserve"> </v>
      </c>
      <c r="BD49" s="32"/>
      <c r="BE49" s="32"/>
      <c r="BF49" s="53"/>
      <c r="BG49" s="21" t="str">
        <f>IFERROR(VLOOKUP(November[[#This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21" t="str">
        <f>IFERROR(VLOOKUP(November[[#This Row],[Drug Name]],'Data Options'!$R$1:$S$100,2,FALSE), " ")</f>
        <v xml:space="preserve"> </v>
      </c>
      <c r="R50" s="32"/>
      <c r="S50" s="32"/>
      <c r="T50" s="53"/>
      <c r="U50" s="21" t="str">
        <f>IFERROR(VLOOKUP(November[[#This Row],[Drug Name2]],'Data Options'!$R$1:$S$100,2,FALSE), " ")</f>
        <v xml:space="preserve"> </v>
      </c>
      <c r="V50" s="32"/>
      <c r="W50" s="32"/>
      <c r="X50" s="53"/>
      <c r="Y50" s="21" t="str">
        <f>IFERROR(VLOOKUP(November[[#This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21" t="str">
        <f>IFERROR(VLOOKUP(November[[#This Row],[Drug Name4]],'Data Options'!$R$1:$S$100,2,FALSE), " ")</f>
        <v xml:space="preserve"> </v>
      </c>
      <c r="AI50" s="32"/>
      <c r="AJ50" s="32"/>
      <c r="AK50" s="53"/>
      <c r="AL50" s="21" t="str">
        <f>IFERROR(VLOOKUP(November[[#This Row],[Drug Name5]],'Data Options'!$R$1:$S$100,2,FALSE), " ")</f>
        <v xml:space="preserve"> </v>
      </c>
      <c r="AM50" s="32"/>
      <c r="AN50" s="32"/>
      <c r="AO50" s="53"/>
      <c r="AP50" s="21" t="str">
        <f>IFERROR(VLOOKUP(November[[#This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21" t="str">
        <f>IFERROR(VLOOKUP(November[[#This Row],[Drug Name7]],'Data Options'!$R$1:$S$100,2,FALSE), " ")</f>
        <v xml:space="preserve"> </v>
      </c>
      <c r="AZ50" s="32"/>
      <c r="BA50" s="32"/>
      <c r="BB50" s="53"/>
      <c r="BC50" s="21" t="str">
        <f>IFERROR(VLOOKUP(November[[#This Row],[Drug Name8]],'Data Options'!$R$1:$S$100,2,FALSE), " ")</f>
        <v xml:space="preserve"> </v>
      </c>
      <c r="BD50" s="32"/>
      <c r="BE50" s="32"/>
      <c r="BF50" s="53"/>
      <c r="BG50" s="21" t="str">
        <f>IFERROR(VLOOKUP(November[[#This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21" t="str">
        <f>IFERROR(VLOOKUP(November[[#This Row],[Drug Name]],'Data Options'!$R$1:$S$100,2,FALSE), " ")</f>
        <v xml:space="preserve"> </v>
      </c>
      <c r="R51" s="32"/>
      <c r="S51" s="32"/>
      <c r="T51" s="53"/>
      <c r="U51" s="21" t="str">
        <f>IFERROR(VLOOKUP(November[[#This Row],[Drug Name2]],'Data Options'!$R$1:$S$100,2,FALSE), " ")</f>
        <v xml:space="preserve"> </v>
      </c>
      <c r="V51" s="32"/>
      <c r="W51" s="32"/>
      <c r="X51" s="53"/>
      <c r="Y51" s="21" t="str">
        <f>IFERROR(VLOOKUP(November[[#This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21" t="str">
        <f>IFERROR(VLOOKUP(November[[#This Row],[Drug Name4]],'Data Options'!$R$1:$S$100,2,FALSE), " ")</f>
        <v xml:space="preserve"> </v>
      </c>
      <c r="AI51" s="32"/>
      <c r="AJ51" s="32"/>
      <c r="AK51" s="53"/>
      <c r="AL51" s="21" t="str">
        <f>IFERROR(VLOOKUP(November[[#This Row],[Drug Name5]],'Data Options'!$R$1:$S$100,2,FALSE), " ")</f>
        <v xml:space="preserve"> </v>
      </c>
      <c r="AM51" s="32"/>
      <c r="AN51" s="32"/>
      <c r="AO51" s="53"/>
      <c r="AP51" s="21" t="str">
        <f>IFERROR(VLOOKUP(November[[#This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21" t="str">
        <f>IFERROR(VLOOKUP(November[[#This Row],[Drug Name7]],'Data Options'!$R$1:$S$100,2,FALSE), " ")</f>
        <v xml:space="preserve"> </v>
      </c>
      <c r="AZ51" s="32"/>
      <c r="BA51" s="32"/>
      <c r="BB51" s="53"/>
      <c r="BC51" s="21" t="str">
        <f>IFERROR(VLOOKUP(November[[#This Row],[Drug Name8]],'Data Options'!$R$1:$S$100,2,FALSE), " ")</f>
        <v xml:space="preserve"> </v>
      </c>
      <c r="BD51" s="32"/>
      <c r="BE51" s="32"/>
      <c r="BF51" s="53"/>
      <c r="BG51" s="21" t="str">
        <f>IFERROR(VLOOKUP(November[[#This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21" t="str">
        <f>IFERROR(VLOOKUP(November[[#This Row],[Drug Name]],'Data Options'!$R$1:$S$100,2,FALSE), " ")</f>
        <v xml:space="preserve"> </v>
      </c>
      <c r="R52" s="32"/>
      <c r="S52" s="32"/>
      <c r="T52" s="53"/>
      <c r="U52" s="21" t="str">
        <f>IFERROR(VLOOKUP(November[[#This Row],[Drug Name2]],'Data Options'!$R$1:$S$100,2,FALSE), " ")</f>
        <v xml:space="preserve"> </v>
      </c>
      <c r="V52" s="32"/>
      <c r="W52" s="32"/>
      <c r="X52" s="53"/>
      <c r="Y52" s="21" t="str">
        <f>IFERROR(VLOOKUP(November[[#This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21" t="str">
        <f>IFERROR(VLOOKUP(November[[#This Row],[Drug Name4]],'Data Options'!$R$1:$S$100,2,FALSE), " ")</f>
        <v xml:space="preserve"> </v>
      </c>
      <c r="AI52" s="32"/>
      <c r="AJ52" s="32"/>
      <c r="AK52" s="53"/>
      <c r="AL52" s="21" t="str">
        <f>IFERROR(VLOOKUP(November[[#This Row],[Drug Name5]],'Data Options'!$R$1:$S$100,2,FALSE), " ")</f>
        <v xml:space="preserve"> </v>
      </c>
      <c r="AM52" s="32"/>
      <c r="AN52" s="32"/>
      <c r="AO52" s="53"/>
      <c r="AP52" s="21" t="str">
        <f>IFERROR(VLOOKUP(November[[#This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21" t="str">
        <f>IFERROR(VLOOKUP(November[[#This Row],[Drug Name7]],'Data Options'!$R$1:$S$100,2,FALSE), " ")</f>
        <v xml:space="preserve"> </v>
      </c>
      <c r="AZ52" s="32"/>
      <c r="BA52" s="32"/>
      <c r="BB52" s="53"/>
      <c r="BC52" s="21" t="str">
        <f>IFERROR(VLOOKUP(November[[#This Row],[Drug Name8]],'Data Options'!$R$1:$S$100,2,FALSE), " ")</f>
        <v xml:space="preserve"> </v>
      </c>
      <c r="BD52" s="32"/>
      <c r="BE52" s="32"/>
      <c r="BF52" s="53"/>
      <c r="BG52" s="21" t="str">
        <f>IFERROR(VLOOKUP(November[[#This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21" t="str">
        <f>IFERROR(VLOOKUP(November[[#This Row],[Drug Name]],'Data Options'!$R$1:$S$100,2,FALSE), " ")</f>
        <v xml:space="preserve"> </v>
      </c>
      <c r="R53" s="32"/>
      <c r="S53" s="32"/>
      <c r="T53" s="53"/>
      <c r="U53" s="21" t="str">
        <f>IFERROR(VLOOKUP(November[[#This Row],[Drug Name2]],'Data Options'!$R$1:$S$100,2,FALSE), " ")</f>
        <v xml:space="preserve"> </v>
      </c>
      <c r="V53" s="32"/>
      <c r="W53" s="32"/>
      <c r="X53" s="53"/>
      <c r="Y53" s="21" t="str">
        <f>IFERROR(VLOOKUP(November[[#This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21" t="str">
        <f>IFERROR(VLOOKUP(November[[#This Row],[Drug Name4]],'Data Options'!$R$1:$S$100,2,FALSE), " ")</f>
        <v xml:space="preserve"> </v>
      </c>
      <c r="AI53" s="32"/>
      <c r="AJ53" s="32"/>
      <c r="AK53" s="53"/>
      <c r="AL53" s="21" t="str">
        <f>IFERROR(VLOOKUP(November[[#This Row],[Drug Name5]],'Data Options'!$R$1:$S$100,2,FALSE), " ")</f>
        <v xml:space="preserve"> </v>
      </c>
      <c r="AM53" s="32"/>
      <c r="AN53" s="32"/>
      <c r="AO53" s="53"/>
      <c r="AP53" s="21" t="str">
        <f>IFERROR(VLOOKUP(November[[#This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21" t="str">
        <f>IFERROR(VLOOKUP(November[[#This Row],[Drug Name7]],'Data Options'!$R$1:$S$100,2,FALSE), " ")</f>
        <v xml:space="preserve"> </v>
      </c>
      <c r="AZ53" s="32"/>
      <c r="BA53" s="32"/>
      <c r="BB53" s="53"/>
      <c r="BC53" s="21" t="str">
        <f>IFERROR(VLOOKUP(November[[#This Row],[Drug Name8]],'Data Options'!$R$1:$S$100,2,FALSE), " ")</f>
        <v xml:space="preserve"> </v>
      </c>
      <c r="BD53" s="32"/>
      <c r="BE53" s="32"/>
      <c r="BF53" s="53"/>
      <c r="BG53" s="21" t="str">
        <f>IFERROR(VLOOKUP(November[[#This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21" t="str">
        <f>IFERROR(VLOOKUP(November[[#This Row],[Drug Name]],'Data Options'!$R$1:$S$100,2,FALSE), " ")</f>
        <v xml:space="preserve"> </v>
      </c>
      <c r="R54" s="32"/>
      <c r="S54" s="32"/>
      <c r="T54" s="53"/>
      <c r="U54" s="21" t="str">
        <f>IFERROR(VLOOKUP(November[[#This Row],[Drug Name2]],'Data Options'!$R$1:$S$100,2,FALSE), " ")</f>
        <v xml:space="preserve"> </v>
      </c>
      <c r="V54" s="32"/>
      <c r="W54" s="32"/>
      <c r="X54" s="53"/>
      <c r="Y54" s="21" t="str">
        <f>IFERROR(VLOOKUP(November[[#This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21" t="str">
        <f>IFERROR(VLOOKUP(November[[#This Row],[Drug Name4]],'Data Options'!$R$1:$S$100,2,FALSE), " ")</f>
        <v xml:space="preserve"> </v>
      </c>
      <c r="AI54" s="32"/>
      <c r="AJ54" s="32"/>
      <c r="AK54" s="53"/>
      <c r="AL54" s="21" t="str">
        <f>IFERROR(VLOOKUP(November[[#This Row],[Drug Name5]],'Data Options'!$R$1:$S$100,2,FALSE), " ")</f>
        <v xml:space="preserve"> </v>
      </c>
      <c r="AM54" s="32"/>
      <c r="AN54" s="32"/>
      <c r="AO54" s="53"/>
      <c r="AP54" s="21" t="str">
        <f>IFERROR(VLOOKUP(November[[#This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21" t="str">
        <f>IFERROR(VLOOKUP(November[[#This Row],[Drug Name7]],'Data Options'!$R$1:$S$100,2,FALSE), " ")</f>
        <v xml:space="preserve"> </v>
      </c>
      <c r="AZ54" s="32"/>
      <c r="BA54" s="32"/>
      <c r="BB54" s="53"/>
      <c r="BC54" s="21" t="str">
        <f>IFERROR(VLOOKUP(November[[#This Row],[Drug Name8]],'Data Options'!$R$1:$S$100,2,FALSE), " ")</f>
        <v xml:space="preserve"> </v>
      </c>
      <c r="BD54" s="32"/>
      <c r="BE54" s="32"/>
      <c r="BF54" s="53"/>
      <c r="BG54" s="21" t="str">
        <f>IFERROR(VLOOKUP(November[[#This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21" t="str">
        <f>IFERROR(VLOOKUP(November[[#This Row],[Drug Name]],'Data Options'!$R$1:$S$100,2,FALSE), " ")</f>
        <v xml:space="preserve"> </v>
      </c>
      <c r="R55" s="32"/>
      <c r="S55" s="32"/>
      <c r="T55" s="53"/>
      <c r="U55" s="21" t="str">
        <f>IFERROR(VLOOKUP(November[[#This Row],[Drug Name2]],'Data Options'!$R$1:$S$100,2,FALSE), " ")</f>
        <v xml:space="preserve"> </v>
      </c>
      <c r="V55" s="32"/>
      <c r="W55" s="32"/>
      <c r="X55" s="53"/>
      <c r="Y55" s="21" t="str">
        <f>IFERROR(VLOOKUP(November[[#This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21" t="str">
        <f>IFERROR(VLOOKUP(November[[#This Row],[Drug Name4]],'Data Options'!$R$1:$S$100,2,FALSE), " ")</f>
        <v xml:space="preserve"> </v>
      </c>
      <c r="AI55" s="32"/>
      <c r="AJ55" s="32"/>
      <c r="AK55" s="53"/>
      <c r="AL55" s="21" t="str">
        <f>IFERROR(VLOOKUP(November[[#This Row],[Drug Name5]],'Data Options'!$R$1:$S$100,2,FALSE), " ")</f>
        <v xml:space="preserve"> </v>
      </c>
      <c r="AM55" s="32"/>
      <c r="AN55" s="32"/>
      <c r="AO55" s="53"/>
      <c r="AP55" s="21" t="str">
        <f>IFERROR(VLOOKUP(November[[#This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21" t="str">
        <f>IFERROR(VLOOKUP(November[[#This Row],[Drug Name7]],'Data Options'!$R$1:$S$100,2,FALSE), " ")</f>
        <v xml:space="preserve"> </v>
      </c>
      <c r="AZ55" s="32"/>
      <c r="BA55" s="32"/>
      <c r="BB55" s="53"/>
      <c r="BC55" s="21" t="str">
        <f>IFERROR(VLOOKUP(November[[#This Row],[Drug Name8]],'Data Options'!$R$1:$S$100,2,FALSE), " ")</f>
        <v xml:space="preserve"> </v>
      </c>
      <c r="BD55" s="32"/>
      <c r="BE55" s="32"/>
      <c r="BF55" s="53"/>
      <c r="BG55" s="21" t="str">
        <f>IFERROR(VLOOKUP(November[[#This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21" t="str">
        <f>IFERROR(VLOOKUP(November[[#This Row],[Drug Name]],'Data Options'!$R$1:$S$100,2,FALSE), " ")</f>
        <v xml:space="preserve"> </v>
      </c>
      <c r="R56" s="32"/>
      <c r="S56" s="32"/>
      <c r="T56" s="53"/>
      <c r="U56" s="21" t="str">
        <f>IFERROR(VLOOKUP(November[[#This Row],[Drug Name2]],'Data Options'!$R$1:$S$100,2,FALSE), " ")</f>
        <v xml:space="preserve"> </v>
      </c>
      <c r="V56" s="32"/>
      <c r="W56" s="32"/>
      <c r="X56" s="53"/>
      <c r="Y56" s="21" t="str">
        <f>IFERROR(VLOOKUP(November[[#This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21" t="str">
        <f>IFERROR(VLOOKUP(November[[#This Row],[Drug Name4]],'Data Options'!$R$1:$S$100,2,FALSE), " ")</f>
        <v xml:space="preserve"> </v>
      </c>
      <c r="AI56" s="32"/>
      <c r="AJ56" s="32"/>
      <c r="AK56" s="53"/>
      <c r="AL56" s="21" t="str">
        <f>IFERROR(VLOOKUP(November[[#This Row],[Drug Name5]],'Data Options'!$R$1:$S$100,2,FALSE), " ")</f>
        <v xml:space="preserve"> </v>
      </c>
      <c r="AM56" s="32"/>
      <c r="AN56" s="32"/>
      <c r="AO56" s="53"/>
      <c r="AP56" s="21" t="str">
        <f>IFERROR(VLOOKUP(November[[#This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21" t="str">
        <f>IFERROR(VLOOKUP(November[[#This Row],[Drug Name7]],'Data Options'!$R$1:$S$100,2,FALSE), " ")</f>
        <v xml:space="preserve"> </v>
      </c>
      <c r="AZ56" s="32"/>
      <c r="BA56" s="32"/>
      <c r="BB56" s="53"/>
      <c r="BC56" s="21" t="str">
        <f>IFERROR(VLOOKUP(November[[#This Row],[Drug Name8]],'Data Options'!$R$1:$S$100,2,FALSE), " ")</f>
        <v xml:space="preserve"> </v>
      </c>
      <c r="BD56" s="32"/>
      <c r="BE56" s="32"/>
      <c r="BF56" s="53"/>
      <c r="BG56" s="21" t="str">
        <f>IFERROR(VLOOKUP(November[[#This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21" t="str">
        <f>IFERROR(VLOOKUP(November[[#This Row],[Drug Name]],'Data Options'!$R$1:$S$100,2,FALSE), " ")</f>
        <v xml:space="preserve"> </v>
      </c>
      <c r="R57" s="32"/>
      <c r="S57" s="32"/>
      <c r="T57" s="53"/>
      <c r="U57" s="21" t="str">
        <f>IFERROR(VLOOKUP(November[[#This Row],[Drug Name2]],'Data Options'!$R$1:$S$100,2,FALSE), " ")</f>
        <v xml:space="preserve"> </v>
      </c>
      <c r="V57" s="32"/>
      <c r="W57" s="32"/>
      <c r="X57" s="53"/>
      <c r="Y57" s="21" t="str">
        <f>IFERROR(VLOOKUP(November[[#This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21" t="str">
        <f>IFERROR(VLOOKUP(November[[#This Row],[Drug Name4]],'Data Options'!$R$1:$S$100,2,FALSE), " ")</f>
        <v xml:space="preserve"> </v>
      </c>
      <c r="AI57" s="32"/>
      <c r="AJ57" s="32"/>
      <c r="AK57" s="53"/>
      <c r="AL57" s="21" t="str">
        <f>IFERROR(VLOOKUP(November[[#This Row],[Drug Name5]],'Data Options'!$R$1:$S$100,2,FALSE), " ")</f>
        <v xml:space="preserve"> </v>
      </c>
      <c r="AM57" s="32"/>
      <c r="AN57" s="32"/>
      <c r="AO57" s="53"/>
      <c r="AP57" s="21" t="str">
        <f>IFERROR(VLOOKUP(November[[#This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21" t="str">
        <f>IFERROR(VLOOKUP(November[[#This Row],[Drug Name7]],'Data Options'!$R$1:$S$100,2,FALSE), " ")</f>
        <v xml:space="preserve"> </v>
      </c>
      <c r="AZ57" s="32"/>
      <c r="BA57" s="32"/>
      <c r="BB57" s="53"/>
      <c r="BC57" s="21" t="str">
        <f>IFERROR(VLOOKUP(November[[#This Row],[Drug Name8]],'Data Options'!$R$1:$S$100,2,FALSE), " ")</f>
        <v xml:space="preserve"> </v>
      </c>
      <c r="BD57" s="32"/>
      <c r="BE57" s="32"/>
      <c r="BF57" s="53"/>
      <c r="BG57" s="21" t="str">
        <f>IFERROR(VLOOKUP(November[[#This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21" t="str">
        <f>IFERROR(VLOOKUP(November[[#This Row],[Drug Name]],'Data Options'!$R$1:$S$100,2,FALSE), " ")</f>
        <v xml:space="preserve"> </v>
      </c>
      <c r="R58" s="32"/>
      <c r="S58" s="32"/>
      <c r="T58" s="53"/>
      <c r="U58" s="21" t="str">
        <f>IFERROR(VLOOKUP(November[[#This Row],[Drug Name2]],'Data Options'!$R$1:$S$100,2,FALSE), " ")</f>
        <v xml:space="preserve"> </v>
      </c>
      <c r="V58" s="32"/>
      <c r="W58" s="32"/>
      <c r="X58" s="53"/>
      <c r="Y58" s="21" t="str">
        <f>IFERROR(VLOOKUP(November[[#This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21" t="str">
        <f>IFERROR(VLOOKUP(November[[#This Row],[Drug Name4]],'Data Options'!$R$1:$S$100,2,FALSE), " ")</f>
        <v xml:space="preserve"> </v>
      </c>
      <c r="AI58" s="32"/>
      <c r="AJ58" s="32"/>
      <c r="AK58" s="53"/>
      <c r="AL58" s="21" t="str">
        <f>IFERROR(VLOOKUP(November[[#This Row],[Drug Name5]],'Data Options'!$R$1:$S$100,2,FALSE), " ")</f>
        <v xml:space="preserve"> </v>
      </c>
      <c r="AM58" s="32"/>
      <c r="AN58" s="32"/>
      <c r="AO58" s="53"/>
      <c r="AP58" s="21" t="str">
        <f>IFERROR(VLOOKUP(November[[#This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21" t="str">
        <f>IFERROR(VLOOKUP(November[[#This Row],[Drug Name7]],'Data Options'!$R$1:$S$100,2,FALSE), " ")</f>
        <v xml:space="preserve"> </v>
      </c>
      <c r="AZ58" s="32"/>
      <c r="BA58" s="32"/>
      <c r="BB58" s="53"/>
      <c r="BC58" s="21" t="str">
        <f>IFERROR(VLOOKUP(November[[#This Row],[Drug Name8]],'Data Options'!$R$1:$S$100,2,FALSE), " ")</f>
        <v xml:space="preserve"> </v>
      </c>
      <c r="BD58" s="32"/>
      <c r="BE58" s="32"/>
      <c r="BF58" s="53"/>
      <c r="BG58" s="21" t="str">
        <f>IFERROR(VLOOKUP(November[[#This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21" t="str">
        <f>IFERROR(VLOOKUP(November[[#This Row],[Drug Name]],'Data Options'!$R$1:$S$100,2,FALSE), " ")</f>
        <v xml:space="preserve"> </v>
      </c>
      <c r="R59" s="32"/>
      <c r="S59" s="32"/>
      <c r="T59" s="53"/>
      <c r="U59" s="21" t="str">
        <f>IFERROR(VLOOKUP(November[[#This Row],[Drug Name2]],'Data Options'!$R$1:$S$100,2,FALSE), " ")</f>
        <v xml:space="preserve"> </v>
      </c>
      <c r="V59" s="32"/>
      <c r="W59" s="32"/>
      <c r="X59" s="53"/>
      <c r="Y59" s="21" t="str">
        <f>IFERROR(VLOOKUP(November[[#This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21" t="str">
        <f>IFERROR(VLOOKUP(November[[#This Row],[Drug Name4]],'Data Options'!$R$1:$S$100,2,FALSE), " ")</f>
        <v xml:space="preserve"> </v>
      </c>
      <c r="AI59" s="32"/>
      <c r="AJ59" s="32"/>
      <c r="AK59" s="53"/>
      <c r="AL59" s="21" t="str">
        <f>IFERROR(VLOOKUP(November[[#This Row],[Drug Name5]],'Data Options'!$R$1:$S$100,2,FALSE), " ")</f>
        <v xml:space="preserve"> </v>
      </c>
      <c r="AM59" s="32"/>
      <c r="AN59" s="32"/>
      <c r="AO59" s="53"/>
      <c r="AP59" s="21" t="str">
        <f>IFERROR(VLOOKUP(November[[#This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21" t="str">
        <f>IFERROR(VLOOKUP(November[[#This Row],[Drug Name7]],'Data Options'!$R$1:$S$100,2,FALSE), " ")</f>
        <v xml:space="preserve"> </v>
      </c>
      <c r="AZ59" s="32"/>
      <c r="BA59" s="32"/>
      <c r="BB59" s="53"/>
      <c r="BC59" s="21" t="str">
        <f>IFERROR(VLOOKUP(November[[#This Row],[Drug Name8]],'Data Options'!$R$1:$S$100,2,FALSE), " ")</f>
        <v xml:space="preserve"> </v>
      </c>
      <c r="BD59" s="32"/>
      <c r="BE59" s="32"/>
      <c r="BF59" s="53"/>
      <c r="BG59" s="21" t="str">
        <f>IFERROR(VLOOKUP(November[[#This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21" t="str">
        <f>IFERROR(VLOOKUP(November[[#This Row],[Drug Name]],'Data Options'!$R$1:$S$100,2,FALSE), " ")</f>
        <v xml:space="preserve"> </v>
      </c>
      <c r="R60" s="32"/>
      <c r="S60" s="32"/>
      <c r="T60" s="53"/>
      <c r="U60" s="21" t="str">
        <f>IFERROR(VLOOKUP(November[[#This Row],[Drug Name2]],'Data Options'!$R$1:$S$100,2,FALSE), " ")</f>
        <v xml:space="preserve"> </v>
      </c>
      <c r="V60" s="32"/>
      <c r="W60" s="32"/>
      <c r="X60" s="53"/>
      <c r="Y60" s="21" t="str">
        <f>IFERROR(VLOOKUP(November[[#This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21" t="str">
        <f>IFERROR(VLOOKUP(November[[#This Row],[Drug Name4]],'Data Options'!$R$1:$S$100,2,FALSE), " ")</f>
        <v xml:space="preserve"> </v>
      </c>
      <c r="AI60" s="32"/>
      <c r="AJ60" s="32"/>
      <c r="AK60" s="53"/>
      <c r="AL60" s="21" t="str">
        <f>IFERROR(VLOOKUP(November[[#This Row],[Drug Name5]],'Data Options'!$R$1:$S$100,2,FALSE), " ")</f>
        <v xml:space="preserve"> </v>
      </c>
      <c r="AM60" s="32"/>
      <c r="AN60" s="32"/>
      <c r="AO60" s="53"/>
      <c r="AP60" s="21" t="str">
        <f>IFERROR(VLOOKUP(November[[#This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21" t="str">
        <f>IFERROR(VLOOKUP(November[[#This Row],[Drug Name7]],'Data Options'!$R$1:$S$100,2,FALSE), " ")</f>
        <v xml:space="preserve"> </v>
      </c>
      <c r="AZ60" s="32"/>
      <c r="BA60" s="32"/>
      <c r="BB60" s="53"/>
      <c r="BC60" s="21" t="str">
        <f>IFERROR(VLOOKUP(November[[#This Row],[Drug Name8]],'Data Options'!$R$1:$S$100,2,FALSE), " ")</f>
        <v xml:space="preserve"> </v>
      </c>
      <c r="BD60" s="32"/>
      <c r="BE60" s="32"/>
      <c r="BF60" s="53"/>
      <c r="BG60" s="21" t="str">
        <f>IFERROR(VLOOKUP(November[[#This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21" t="str">
        <f>IFERROR(VLOOKUP(November[[#This Row],[Drug Name]],'Data Options'!$R$1:$S$100,2,FALSE), " ")</f>
        <v xml:space="preserve"> </v>
      </c>
      <c r="R61" s="32"/>
      <c r="S61" s="32"/>
      <c r="T61" s="53"/>
      <c r="U61" s="21" t="str">
        <f>IFERROR(VLOOKUP(November[[#This Row],[Drug Name2]],'Data Options'!$R$1:$S$100,2,FALSE), " ")</f>
        <v xml:space="preserve"> </v>
      </c>
      <c r="V61" s="32"/>
      <c r="W61" s="32"/>
      <c r="X61" s="53"/>
      <c r="Y61" s="21" t="str">
        <f>IFERROR(VLOOKUP(November[[#This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21" t="str">
        <f>IFERROR(VLOOKUP(November[[#This Row],[Drug Name4]],'Data Options'!$R$1:$S$100,2,FALSE), " ")</f>
        <v xml:space="preserve"> </v>
      </c>
      <c r="AI61" s="32"/>
      <c r="AJ61" s="32"/>
      <c r="AK61" s="53"/>
      <c r="AL61" s="21" t="str">
        <f>IFERROR(VLOOKUP(November[[#This Row],[Drug Name5]],'Data Options'!$R$1:$S$100,2,FALSE), " ")</f>
        <v xml:space="preserve"> </v>
      </c>
      <c r="AM61" s="32"/>
      <c r="AN61" s="32"/>
      <c r="AO61" s="53"/>
      <c r="AP61" s="21" t="str">
        <f>IFERROR(VLOOKUP(November[[#This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21" t="str">
        <f>IFERROR(VLOOKUP(November[[#This Row],[Drug Name7]],'Data Options'!$R$1:$S$100,2,FALSE), " ")</f>
        <v xml:space="preserve"> </v>
      </c>
      <c r="AZ61" s="32"/>
      <c r="BA61" s="32"/>
      <c r="BB61" s="53"/>
      <c r="BC61" s="21" t="str">
        <f>IFERROR(VLOOKUP(November[[#This Row],[Drug Name8]],'Data Options'!$R$1:$S$100,2,FALSE), " ")</f>
        <v xml:space="preserve"> </v>
      </c>
      <c r="BD61" s="32"/>
      <c r="BE61" s="32"/>
      <c r="BF61" s="53"/>
      <c r="BG61" s="21" t="str">
        <f>IFERROR(VLOOKUP(November[[#This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21" t="str">
        <f>IFERROR(VLOOKUP(November[[#This Row],[Drug Name]],'Data Options'!$R$1:$S$100,2,FALSE), " ")</f>
        <v xml:space="preserve"> </v>
      </c>
      <c r="R62" s="32"/>
      <c r="S62" s="32"/>
      <c r="T62" s="53"/>
      <c r="U62" s="21" t="str">
        <f>IFERROR(VLOOKUP(November[[#This Row],[Drug Name2]],'Data Options'!$R$1:$S$100,2,FALSE), " ")</f>
        <v xml:space="preserve"> </v>
      </c>
      <c r="V62" s="32"/>
      <c r="W62" s="32"/>
      <c r="X62" s="53"/>
      <c r="Y62" s="21" t="str">
        <f>IFERROR(VLOOKUP(November[[#This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21" t="str">
        <f>IFERROR(VLOOKUP(November[[#This Row],[Drug Name4]],'Data Options'!$R$1:$S$100,2,FALSE), " ")</f>
        <v xml:space="preserve"> </v>
      </c>
      <c r="AI62" s="32"/>
      <c r="AJ62" s="32"/>
      <c r="AK62" s="53"/>
      <c r="AL62" s="21" t="str">
        <f>IFERROR(VLOOKUP(November[[#This Row],[Drug Name5]],'Data Options'!$R$1:$S$100,2,FALSE), " ")</f>
        <v xml:space="preserve"> </v>
      </c>
      <c r="AM62" s="32"/>
      <c r="AN62" s="32"/>
      <c r="AO62" s="53"/>
      <c r="AP62" s="21" t="str">
        <f>IFERROR(VLOOKUP(November[[#This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21" t="str">
        <f>IFERROR(VLOOKUP(November[[#This Row],[Drug Name7]],'Data Options'!$R$1:$S$100,2,FALSE), " ")</f>
        <v xml:space="preserve"> </v>
      </c>
      <c r="AZ62" s="32"/>
      <c r="BA62" s="32"/>
      <c r="BB62" s="53"/>
      <c r="BC62" s="21" t="str">
        <f>IFERROR(VLOOKUP(November[[#This Row],[Drug Name8]],'Data Options'!$R$1:$S$100,2,FALSE), " ")</f>
        <v xml:space="preserve"> </v>
      </c>
      <c r="BD62" s="32"/>
      <c r="BE62" s="32"/>
      <c r="BF62" s="53"/>
      <c r="BG62" s="21" t="str">
        <f>IFERROR(VLOOKUP(November[[#This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21" t="str">
        <f>IFERROR(VLOOKUP(November[[#This Row],[Drug Name]],'Data Options'!$R$1:$S$100,2,FALSE), " ")</f>
        <v xml:space="preserve"> </v>
      </c>
      <c r="R63" s="32"/>
      <c r="S63" s="32"/>
      <c r="T63" s="53"/>
      <c r="U63" s="21" t="str">
        <f>IFERROR(VLOOKUP(November[[#This Row],[Drug Name2]],'Data Options'!$R$1:$S$100,2,FALSE), " ")</f>
        <v xml:space="preserve"> </v>
      </c>
      <c r="V63" s="32"/>
      <c r="W63" s="32"/>
      <c r="X63" s="53"/>
      <c r="Y63" s="21" t="str">
        <f>IFERROR(VLOOKUP(November[[#This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21" t="str">
        <f>IFERROR(VLOOKUP(November[[#This Row],[Drug Name4]],'Data Options'!$R$1:$S$100,2,FALSE), " ")</f>
        <v xml:space="preserve"> </v>
      </c>
      <c r="AI63" s="32"/>
      <c r="AJ63" s="32"/>
      <c r="AK63" s="53"/>
      <c r="AL63" s="21" t="str">
        <f>IFERROR(VLOOKUP(November[[#This Row],[Drug Name5]],'Data Options'!$R$1:$S$100,2,FALSE), " ")</f>
        <v xml:space="preserve"> </v>
      </c>
      <c r="AM63" s="32"/>
      <c r="AN63" s="32"/>
      <c r="AO63" s="53"/>
      <c r="AP63" s="21" t="str">
        <f>IFERROR(VLOOKUP(November[[#This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21" t="str">
        <f>IFERROR(VLOOKUP(November[[#This Row],[Drug Name7]],'Data Options'!$R$1:$S$100,2,FALSE), " ")</f>
        <v xml:space="preserve"> </v>
      </c>
      <c r="AZ63" s="32"/>
      <c r="BA63" s="32"/>
      <c r="BB63" s="53"/>
      <c r="BC63" s="21" t="str">
        <f>IFERROR(VLOOKUP(November[[#This Row],[Drug Name8]],'Data Options'!$R$1:$S$100,2,FALSE), " ")</f>
        <v xml:space="preserve"> </v>
      </c>
      <c r="BD63" s="32"/>
      <c r="BE63" s="32"/>
      <c r="BF63" s="53"/>
      <c r="BG63" s="21" t="str">
        <f>IFERROR(VLOOKUP(November[[#This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21" t="str">
        <f>IFERROR(VLOOKUP(November[[#This Row],[Drug Name]],'Data Options'!$R$1:$S$100,2,FALSE), " ")</f>
        <v xml:space="preserve"> </v>
      </c>
      <c r="R64" s="32"/>
      <c r="S64" s="32"/>
      <c r="T64" s="53"/>
      <c r="U64" s="21" t="str">
        <f>IFERROR(VLOOKUP(November[[#This Row],[Drug Name2]],'Data Options'!$R$1:$S$100,2,FALSE), " ")</f>
        <v xml:space="preserve"> </v>
      </c>
      <c r="V64" s="32"/>
      <c r="W64" s="32"/>
      <c r="X64" s="53"/>
      <c r="Y64" s="21" t="str">
        <f>IFERROR(VLOOKUP(November[[#This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21" t="str">
        <f>IFERROR(VLOOKUP(November[[#This Row],[Drug Name4]],'Data Options'!$R$1:$S$100,2,FALSE), " ")</f>
        <v xml:space="preserve"> </v>
      </c>
      <c r="AI64" s="32"/>
      <c r="AJ64" s="32"/>
      <c r="AK64" s="53"/>
      <c r="AL64" s="21" t="str">
        <f>IFERROR(VLOOKUP(November[[#This Row],[Drug Name5]],'Data Options'!$R$1:$S$100,2,FALSE), " ")</f>
        <v xml:space="preserve"> </v>
      </c>
      <c r="AM64" s="32"/>
      <c r="AN64" s="32"/>
      <c r="AO64" s="53"/>
      <c r="AP64" s="21" t="str">
        <f>IFERROR(VLOOKUP(November[[#This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21" t="str">
        <f>IFERROR(VLOOKUP(November[[#This Row],[Drug Name7]],'Data Options'!$R$1:$S$100,2,FALSE), " ")</f>
        <v xml:space="preserve"> </v>
      </c>
      <c r="AZ64" s="32"/>
      <c r="BA64" s="32"/>
      <c r="BB64" s="53"/>
      <c r="BC64" s="21" t="str">
        <f>IFERROR(VLOOKUP(November[[#This Row],[Drug Name8]],'Data Options'!$R$1:$S$100,2,FALSE), " ")</f>
        <v xml:space="preserve"> </v>
      </c>
      <c r="BD64" s="32"/>
      <c r="BE64" s="32"/>
      <c r="BF64" s="53"/>
      <c r="BG64" s="21" t="str">
        <f>IFERROR(VLOOKUP(November[[#This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21" t="str">
        <f>IFERROR(VLOOKUP(November[[#This Row],[Drug Name]],'Data Options'!$R$1:$S$100,2,FALSE), " ")</f>
        <v xml:space="preserve"> </v>
      </c>
      <c r="R65" s="32"/>
      <c r="S65" s="32"/>
      <c r="T65" s="53"/>
      <c r="U65" s="21" t="str">
        <f>IFERROR(VLOOKUP(November[[#This Row],[Drug Name2]],'Data Options'!$R$1:$S$100,2,FALSE), " ")</f>
        <v xml:space="preserve"> </v>
      </c>
      <c r="V65" s="32"/>
      <c r="W65" s="32"/>
      <c r="X65" s="53"/>
      <c r="Y65" s="21" t="str">
        <f>IFERROR(VLOOKUP(November[[#This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21" t="str">
        <f>IFERROR(VLOOKUP(November[[#This Row],[Drug Name4]],'Data Options'!$R$1:$S$100,2,FALSE), " ")</f>
        <v xml:space="preserve"> </v>
      </c>
      <c r="AI65" s="32"/>
      <c r="AJ65" s="32"/>
      <c r="AK65" s="53"/>
      <c r="AL65" s="21" t="str">
        <f>IFERROR(VLOOKUP(November[[#This Row],[Drug Name5]],'Data Options'!$R$1:$S$100,2,FALSE), " ")</f>
        <v xml:space="preserve"> </v>
      </c>
      <c r="AM65" s="32"/>
      <c r="AN65" s="32"/>
      <c r="AO65" s="53"/>
      <c r="AP65" s="21" t="str">
        <f>IFERROR(VLOOKUP(November[[#This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21" t="str">
        <f>IFERROR(VLOOKUP(November[[#This Row],[Drug Name7]],'Data Options'!$R$1:$S$100,2,FALSE), " ")</f>
        <v xml:space="preserve"> </v>
      </c>
      <c r="AZ65" s="32"/>
      <c r="BA65" s="32"/>
      <c r="BB65" s="53"/>
      <c r="BC65" s="21" t="str">
        <f>IFERROR(VLOOKUP(November[[#This Row],[Drug Name8]],'Data Options'!$R$1:$S$100,2,FALSE), " ")</f>
        <v xml:space="preserve"> </v>
      </c>
      <c r="BD65" s="32"/>
      <c r="BE65" s="32"/>
      <c r="BF65" s="53"/>
      <c r="BG65" s="21" t="str">
        <f>IFERROR(VLOOKUP(November[[#This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21" t="str">
        <f>IFERROR(VLOOKUP(November[[#This Row],[Drug Name]],'Data Options'!$R$1:$S$100,2,FALSE), " ")</f>
        <v xml:space="preserve"> </v>
      </c>
      <c r="R66" s="32"/>
      <c r="S66" s="32"/>
      <c r="T66" s="53"/>
      <c r="U66" s="21" t="str">
        <f>IFERROR(VLOOKUP(November[[#This Row],[Drug Name2]],'Data Options'!$R$1:$S$100,2,FALSE), " ")</f>
        <v xml:space="preserve"> </v>
      </c>
      <c r="V66" s="32"/>
      <c r="W66" s="32"/>
      <c r="X66" s="53"/>
      <c r="Y66" s="21" t="str">
        <f>IFERROR(VLOOKUP(November[[#This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21" t="str">
        <f>IFERROR(VLOOKUP(November[[#This Row],[Drug Name4]],'Data Options'!$R$1:$S$100,2,FALSE), " ")</f>
        <v xml:space="preserve"> </v>
      </c>
      <c r="AI66" s="32"/>
      <c r="AJ66" s="32"/>
      <c r="AK66" s="53"/>
      <c r="AL66" s="21" t="str">
        <f>IFERROR(VLOOKUP(November[[#This Row],[Drug Name5]],'Data Options'!$R$1:$S$100,2,FALSE), " ")</f>
        <v xml:space="preserve"> </v>
      </c>
      <c r="AM66" s="32"/>
      <c r="AN66" s="32"/>
      <c r="AO66" s="53"/>
      <c r="AP66" s="21" t="str">
        <f>IFERROR(VLOOKUP(November[[#This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21" t="str">
        <f>IFERROR(VLOOKUP(November[[#This Row],[Drug Name7]],'Data Options'!$R$1:$S$100,2,FALSE), " ")</f>
        <v xml:space="preserve"> </v>
      </c>
      <c r="AZ66" s="32"/>
      <c r="BA66" s="32"/>
      <c r="BB66" s="53"/>
      <c r="BC66" s="21" t="str">
        <f>IFERROR(VLOOKUP(November[[#This Row],[Drug Name8]],'Data Options'!$R$1:$S$100,2,FALSE), " ")</f>
        <v xml:space="preserve"> </v>
      </c>
      <c r="BD66" s="32"/>
      <c r="BE66" s="32"/>
      <c r="BF66" s="53"/>
      <c r="BG66" s="21" t="str">
        <f>IFERROR(VLOOKUP(November[[#This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21" t="str">
        <f>IFERROR(VLOOKUP(November[[#This Row],[Drug Name]],'Data Options'!$R$1:$S$100,2,FALSE), " ")</f>
        <v xml:space="preserve"> </v>
      </c>
      <c r="R67" s="32"/>
      <c r="S67" s="32"/>
      <c r="T67" s="53"/>
      <c r="U67" s="21" t="str">
        <f>IFERROR(VLOOKUP(November[[#This Row],[Drug Name2]],'Data Options'!$R$1:$S$100,2,FALSE), " ")</f>
        <v xml:space="preserve"> </v>
      </c>
      <c r="V67" s="32"/>
      <c r="W67" s="32"/>
      <c r="X67" s="53"/>
      <c r="Y67" s="21" t="str">
        <f>IFERROR(VLOOKUP(November[[#This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21" t="str">
        <f>IFERROR(VLOOKUP(November[[#This Row],[Drug Name4]],'Data Options'!$R$1:$S$100,2,FALSE), " ")</f>
        <v xml:space="preserve"> </v>
      </c>
      <c r="AI67" s="32"/>
      <c r="AJ67" s="32"/>
      <c r="AK67" s="53"/>
      <c r="AL67" s="21" t="str">
        <f>IFERROR(VLOOKUP(November[[#This Row],[Drug Name5]],'Data Options'!$R$1:$S$100,2,FALSE), " ")</f>
        <v xml:space="preserve"> </v>
      </c>
      <c r="AM67" s="32"/>
      <c r="AN67" s="32"/>
      <c r="AO67" s="53"/>
      <c r="AP67" s="21" t="str">
        <f>IFERROR(VLOOKUP(November[[#This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21" t="str">
        <f>IFERROR(VLOOKUP(November[[#This Row],[Drug Name7]],'Data Options'!$R$1:$S$100,2,FALSE), " ")</f>
        <v xml:space="preserve"> </v>
      </c>
      <c r="AZ67" s="32"/>
      <c r="BA67" s="32"/>
      <c r="BB67" s="53"/>
      <c r="BC67" s="21" t="str">
        <f>IFERROR(VLOOKUP(November[[#This Row],[Drug Name8]],'Data Options'!$R$1:$S$100,2,FALSE), " ")</f>
        <v xml:space="preserve"> </v>
      </c>
      <c r="BD67" s="32"/>
      <c r="BE67" s="32"/>
      <c r="BF67" s="53"/>
      <c r="BG67" s="21" t="str">
        <f>IFERROR(VLOOKUP(November[[#This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21" t="str">
        <f>IFERROR(VLOOKUP(November[[#This Row],[Drug Name]],'Data Options'!$R$1:$S$100,2,FALSE), " ")</f>
        <v xml:space="preserve"> </v>
      </c>
      <c r="R68" s="32"/>
      <c r="S68" s="32"/>
      <c r="T68" s="53"/>
      <c r="U68" s="21" t="str">
        <f>IFERROR(VLOOKUP(November[[#This Row],[Drug Name2]],'Data Options'!$R$1:$S$100,2,FALSE), " ")</f>
        <v xml:space="preserve"> </v>
      </c>
      <c r="V68" s="32"/>
      <c r="W68" s="32"/>
      <c r="X68" s="53"/>
      <c r="Y68" s="21" t="str">
        <f>IFERROR(VLOOKUP(November[[#This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21" t="str">
        <f>IFERROR(VLOOKUP(November[[#This Row],[Drug Name4]],'Data Options'!$R$1:$S$100,2,FALSE), " ")</f>
        <v xml:space="preserve"> </v>
      </c>
      <c r="AI68" s="32"/>
      <c r="AJ68" s="32"/>
      <c r="AK68" s="53"/>
      <c r="AL68" s="21" t="str">
        <f>IFERROR(VLOOKUP(November[[#This Row],[Drug Name5]],'Data Options'!$R$1:$S$100,2,FALSE), " ")</f>
        <v xml:space="preserve"> </v>
      </c>
      <c r="AM68" s="32"/>
      <c r="AN68" s="32"/>
      <c r="AO68" s="53"/>
      <c r="AP68" s="21" t="str">
        <f>IFERROR(VLOOKUP(November[[#This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21" t="str">
        <f>IFERROR(VLOOKUP(November[[#This Row],[Drug Name7]],'Data Options'!$R$1:$S$100,2,FALSE), " ")</f>
        <v xml:space="preserve"> </v>
      </c>
      <c r="AZ68" s="32"/>
      <c r="BA68" s="32"/>
      <c r="BB68" s="53"/>
      <c r="BC68" s="21" t="str">
        <f>IFERROR(VLOOKUP(November[[#This Row],[Drug Name8]],'Data Options'!$R$1:$S$100,2,FALSE), " ")</f>
        <v xml:space="preserve"> </v>
      </c>
      <c r="BD68" s="32"/>
      <c r="BE68" s="32"/>
      <c r="BF68" s="53"/>
      <c r="BG68" s="21" t="str">
        <f>IFERROR(VLOOKUP(November[[#This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21" t="str">
        <f>IFERROR(VLOOKUP(November[[#This Row],[Drug Name]],'Data Options'!$R$1:$S$100,2,FALSE), " ")</f>
        <v xml:space="preserve"> </v>
      </c>
      <c r="R69" s="32"/>
      <c r="S69" s="32"/>
      <c r="T69" s="53"/>
      <c r="U69" s="21" t="str">
        <f>IFERROR(VLOOKUP(November[[#This Row],[Drug Name2]],'Data Options'!$R$1:$S$100,2,FALSE), " ")</f>
        <v xml:space="preserve"> </v>
      </c>
      <c r="V69" s="32"/>
      <c r="W69" s="32"/>
      <c r="X69" s="53"/>
      <c r="Y69" s="21" t="str">
        <f>IFERROR(VLOOKUP(November[[#This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21" t="str">
        <f>IFERROR(VLOOKUP(November[[#This Row],[Drug Name4]],'Data Options'!$R$1:$S$100,2,FALSE), " ")</f>
        <v xml:space="preserve"> </v>
      </c>
      <c r="AI69" s="32"/>
      <c r="AJ69" s="32"/>
      <c r="AK69" s="53"/>
      <c r="AL69" s="21" t="str">
        <f>IFERROR(VLOOKUP(November[[#This Row],[Drug Name5]],'Data Options'!$R$1:$S$100,2,FALSE), " ")</f>
        <v xml:space="preserve"> </v>
      </c>
      <c r="AM69" s="32"/>
      <c r="AN69" s="32"/>
      <c r="AO69" s="53"/>
      <c r="AP69" s="21" t="str">
        <f>IFERROR(VLOOKUP(November[[#This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21" t="str">
        <f>IFERROR(VLOOKUP(November[[#This Row],[Drug Name7]],'Data Options'!$R$1:$S$100,2,FALSE), " ")</f>
        <v xml:space="preserve"> </v>
      </c>
      <c r="AZ69" s="32"/>
      <c r="BA69" s="32"/>
      <c r="BB69" s="53"/>
      <c r="BC69" s="21" t="str">
        <f>IFERROR(VLOOKUP(November[[#This Row],[Drug Name8]],'Data Options'!$R$1:$S$100,2,FALSE), " ")</f>
        <v xml:space="preserve"> </v>
      </c>
      <c r="BD69" s="32"/>
      <c r="BE69" s="32"/>
      <c r="BF69" s="53"/>
      <c r="BG69" s="21" t="str">
        <f>IFERROR(VLOOKUP(November[[#This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21" t="str">
        <f>IFERROR(VLOOKUP(November[[#This Row],[Drug Name]],'Data Options'!$R$1:$S$100,2,FALSE), " ")</f>
        <v xml:space="preserve"> </v>
      </c>
      <c r="R70" s="32"/>
      <c r="S70" s="32"/>
      <c r="T70" s="53"/>
      <c r="U70" s="21" t="str">
        <f>IFERROR(VLOOKUP(November[[#This Row],[Drug Name2]],'Data Options'!$R$1:$S$100,2,FALSE), " ")</f>
        <v xml:space="preserve"> </v>
      </c>
      <c r="V70" s="32"/>
      <c r="W70" s="32"/>
      <c r="X70" s="53"/>
      <c r="Y70" s="21" t="str">
        <f>IFERROR(VLOOKUP(November[[#This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21" t="str">
        <f>IFERROR(VLOOKUP(November[[#This Row],[Drug Name4]],'Data Options'!$R$1:$S$100,2,FALSE), " ")</f>
        <v xml:space="preserve"> </v>
      </c>
      <c r="AI70" s="32"/>
      <c r="AJ70" s="32"/>
      <c r="AK70" s="53"/>
      <c r="AL70" s="21" t="str">
        <f>IFERROR(VLOOKUP(November[[#This Row],[Drug Name5]],'Data Options'!$R$1:$S$100,2,FALSE), " ")</f>
        <v xml:space="preserve"> </v>
      </c>
      <c r="AM70" s="32"/>
      <c r="AN70" s="32"/>
      <c r="AO70" s="53"/>
      <c r="AP70" s="21" t="str">
        <f>IFERROR(VLOOKUP(November[[#This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21" t="str">
        <f>IFERROR(VLOOKUP(November[[#This Row],[Drug Name7]],'Data Options'!$R$1:$S$100,2,FALSE), " ")</f>
        <v xml:space="preserve"> </v>
      </c>
      <c r="AZ70" s="32"/>
      <c r="BA70" s="32"/>
      <c r="BB70" s="53"/>
      <c r="BC70" s="21" t="str">
        <f>IFERROR(VLOOKUP(November[[#This Row],[Drug Name8]],'Data Options'!$R$1:$S$100,2,FALSE), " ")</f>
        <v xml:space="preserve"> </v>
      </c>
      <c r="BD70" s="32"/>
      <c r="BE70" s="32"/>
      <c r="BF70" s="53"/>
      <c r="BG70" s="21" t="str">
        <f>IFERROR(VLOOKUP(November[[#This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21" t="str">
        <f>IFERROR(VLOOKUP(November[[#This Row],[Drug Name]],'Data Options'!$R$1:$S$100,2,FALSE), " ")</f>
        <v xml:space="preserve"> </v>
      </c>
      <c r="R71" s="32"/>
      <c r="S71" s="32"/>
      <c r="T71" s="53"/>
      <c r="U71" s="21" t="str">
        <f>IFERROR(VLOOKUP(November[[#This Row],[Drug Name2]],'Data Options'!$R$1:$S$100,2,FALSE), " ")</f>
        <v xml:space="preserve"> </v>
      </c>
      <c r="V71" s="32"/>
      <c r="W71" s="32"/>
      <c r="X71" s="53"/>
      <c r="Y71" s="21" t="str">
        <f>IFERROR(VLOOKUP(November[[#This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21" t="str">
        <f>IFERROR(VLOOKUP(November[[#This Row],[Drug Name4]],'Data Options'!$R$1:$S$100,2,FALSE), " ")</f>
        <v xml:space="preserve"> </v>
      </c>
      <c r="AI71" s="32"/>
      <c r="AJ71" s="32"/>
      <c r="AK71" s="53"/>
      <c r="AL71" s="21" t="str">
        <f>IFERROR(VLOOKUP(November[[#This Row],[Drug Name5]],'Data Options'!$R$1:$S$100,2,FALSE), " ")</f>
        <v xml:space="preserve"> </v>
      </c>
      <c r="AM71" s="32"/>
      <c r="AN71" s="32"/>
      <c r="AO71" s="53"/>
      <c r="AP71" s="21" t="str">
        <f>IFERROR(VLOOKUP(November[[#This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21" t="str">
        <f>IFERROR(VLOOKUP(November[[#This Row],[Drug Name7]],'Data Options'!$R$1:$S$100,2,FALSE), " ")</f>
        <v xml:space="preserve"> </v>
      </c>
      <c r="AZ71" s="32"/>
      <c r="BA71" s="32"/>
      <c r="BB71" s="53"/>
      <c r="BC71" s="21" t="str">
        <f>IFERROR(VLOOKUP(November[[#This Row],[Drug Name8]],'Data Options'!$R$1:$S$100,2,FALSE), " ")</f>
        <v xml:space="preserve"> </v>
      </c>
      <c r="BD71" s="32"/>
      <c r="BE71" s="32"/>
      <c r="BF71" s="53"/>
      <c r="BG71" s="21" t="str">
        <f>IFERROR(VLOOKUP(November[[#This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21" t="str">
        <f>IFERROR(VLOOKUP(November[[#This Row],[Drug Name]],'Data Options'!$R$1:$S$100,2,FALSE), " ")</f>
        <v xml:space="preserve"> </v>
      </c>
      <c r="R72" s="32"/>
      <c r="S72" s="32"/>
      <c r="T72" s="53"/>
      <c r="U72" s="21" t="str">
        <f>IFERROR(VLOOKUP(November[[#This Row],[Drug Name2]],'Data Options'!$R$1:$S$100,2,FALSE), " ")</f>
        <v xml:space="preserve"> </v>
      </c>
      <c r="V72" s="32"/>
      <c r="W72" s="32"/>
      <c r="X72" s="53"/>
      <c r="Y72" s="21" t="str">
        <f>IFERROR(VLOOKUP(November[[#This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21" t="str">
        <f>IFERROR(VLOOKUP(November[[#This Row],[Drug Name4]],'Data Options'!$R$1:$S$100,2,FALSE), " ")</f>
        <v xml:space="preserve"> </v>
      </c>
      <c r="AI72" s="32"/>
      <c r="AJ72" s="32"/>
      <c r="AK72" s="53"/>
      <c r="AL72" s="21" t="str">
        <f>IFERROR(VLOOKUP(November[[#This Row],[Drug Name5]],'Data Options'!$R$1:$S$100,2,FALSE), " ")</f>
        <v xml:space="preserve"> </v>
      </c>
      <c r="AM72" s="32"/>
      <c r="AN72" s="32"/>
      <c r="AO72" s="53"/>
      <c r="AP72" s="21" t="str">
        <f>IFERROR(VLOOKUP(November[[#This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21" t="str">
        <f>IFERROR(VLOOKUP(November[[#This Row],[Drug Name7]],'Data Options'!$R$1:$S$100,2,FALSE), " ")</f>
        <v xml:space="preserve"> </v>
      </c>
      <c r="AZ72" s="32"/>
      <c r="BA72" s="32"/>
      <c r="BB72" s="53"/>
      <c r="BC72" s="21" t="str">
        <f>IFERROR(VLOOKUP(November[[#This Row],[Drug Name8]],'Data Options'!$R$1:$S$100,2,FALSE), " ")</f>
        <v xml:space="preserve"> </v>
      </c>
      <c r="BD72" s="32"/>
      <c r="BE72" s="32"/>
      <c r="BF72" s="53"/>
      <c r="BG72" s="21" t="str">
        <f>IFERROR(VLOOKUP(November[[#This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21" t="str">
        <f>IFERROR(VLOOKUP(November[[#This Row],[Drug Name]],'Data Options'!$R$1:$S$100,2,FALSE), " ")</f>
        <v xml:space="preserve"> </v>
      </c>
      <c r="R73" s="32"/>
      <c r="S73" s="32"/>
      <c r="T73" s="53"/>
      <c r="U73" s="21" t="str">
        <f>IFERROR(VLOOKUP(November[[#This Row],[Drug Name2]],'Data Options'!$R$1:$S$100,2,FALSE), " ")</f>
        <v xml:space="preserve"> </v>
      </c>
      <c r="V73" s="32"/>
      <c r="W73" s="32"/>
      <c r="X73" s="53"/>
      <c r="Y73" s="21" t="str">
        <f>IFERROR(VLOOKUP(November[[#This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21" t="str">
        <f>IFERROR(VLOOKUP(November[[#This Row],[Drug Name4]],'Data Options'!$R$1:$S$100,2,FALSE), " ")</f>
        <v xml:space="preserve"> </v>
      </c>
      <c r="AI73" s="32"/>
      <c r="AJ73" s="32"/>
      <c r="AK73" s="53"/>
      <c r="AL73" s="21" t="str">
        <f>IFERROR(VLOOKUP(November[[#This Row],[Drug Name5]],'Data Options'!$R$1:$S$100,2,FALSE), " ")</f>
        <v xml:space="preserve"> </v>
      </c>
      <c r="AM73" s="32"/>
      <c r="AN73" s="32"/>
      <c r="AO73" s="53"/>
      <c r="AP73" s="21" t="str">
        <f>IFERROR(VLOOKUP(November[[#This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21" t="str">
        <f>IFERROR(VLOOKUP(November[[#This Row],[Drug Name7]],'Data Options'!$R$1:$S$100,2,FALSE), " ")</f>
        <v xml:space="preserve"> </v>
      </c>
      <c r="AZ73" s="32"/>
      <c r="BA73" s="32"/>
      <c r="BB73" s="53"/>
      <c r="BC73" s="21" t="str">
        <f>IFERROR(VLOOKUP(November[[#This Row],[Drug Name8]],'Data Options'!$R$1:$S$100,2,FALSE), " ")</f>
        <v xml:space="preserve"> </v>
      </c>
      <c r="BD73" s="32"/>
      <c r="BE73" s="32"/>
      <c r="BF73" s="53"/>
      <c r="BG73" s="21" t="str">
        <f>IFERROR(VLOOKUP(November[[#This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21" t="str">
        <f>IFERROR(VLOOKUP(November[[#This Row],[Drug Name]],'Data Options'!$R$1:$S$100,2,FALSE), " ")</f>
        <v xml:space="preserve"> </v>
      </c>
      <c r="R74" s="32"/>
      <c r="S74" s="32"/>
      <c r="T74" s="53"/>
      <c r="U74" s="21" t="str">
        <f>IFERROR(VLOOKUP(November[[#This Row],[Drug Name2]],'Data Options'!$R$1:$S$100,2,FALSE), " ")</f>
        <v xml:space="preserve"> </v>
      </c>
      <c r="V74" s="32"/>
      <c r="W74" s="32"/>
      <c r="X74" s="53"/>
      <c r="Y74" s="21" t="str">
        <f>IFERROR(VLOOKUP(November[[#This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21" t="str">
        <f>IFERROR(VLOOKUP(November[[#This Row],[Drug Name4]],'Data Options'!$R$1:$S$100,2,FALSE), " ")</f>
        <v xml:space="preserve"> </v>
      </c>
      <c r="AI74" s="32"/>
      <c r="AJ74" s="32"/>
      <c r="AK74" s="53"/>
      <c r="AL74" s="21" t="str">
        <f>IFERROR(VLOOKUP(November[[#This Row],[Drug Name5]],'Data Options'!$R$1:$S$100,2,FALSE), " ")</f>
        <v xml:space="preserve"> </v>
      </c>
      <c r="AM74" s="32"/>
      <c r="AN74" s="32"/>
      <c r="AO74" s="53"/>
      <c r="AP74" s="21" t="str">
        <f>IFERROR(VLOOKUP(November[[#This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21" t="str">
        <f>IFERROR(VLOOKUP(November[[#This Row],[Drug Name7]],'Data Options'!$R$1:$S$100,2,FALSE), " ")</f>
        <v xml:space="preserve"> </v>
      </c>
      <c r="AZ74" s="32"/>
      <c r="BA74" s="32"/>
      <c r="BB74" s="53"/>
      <c r="BC74" s="21" t="str">
        <f>IFERROR(VLOOKUP(November[[#This Row],[Drug Name8]],'Data Options'!$R$1:$S$100,2,FALSE), " ")</f>
        <v xml:space="preserve"> </v>
      </c>
      <c r="BD74" s="32"/>
      <c r="BE74" s="32"/>
      <c r="BF74" s="53"/>
      <c r="BG74" s="21" t="str">
        <f>IFERROR(VLOOKUP(November[[#This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21" t="str">
        <f>IFERROR(VLOOKUP(November[[#This Row],[Drug Name]],'Data Options'!$R$1:$S$100,2,FALSE), " ")</f>
        <v xml:space="preserve"> </v>
      </c>
      <c r="R75" s="32"/>
      <c r="S75" s="32"/>
      <c r="T75" s="53"/>
      <c r="U75" s="21" t="str">
        <f>IFERROR(VLOOKUP(November[[#This Row],[Drug Name2]],'Data Options'!$R$1:$S$100,2,FALSE), " ")</f>
        <v xml:space="preserve"> </v>
      </c>
      <c r="V75" s="32"/>
      <c r="W75" s="32"/>
      <c r="X75" s="53"/>
      <c r="Y75" s="21" t="str">
        <f>IFERROR(VLOOKUP(November[[#This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21" t="str">
        <f>IFERROR(VLOOKUP(November[[#This Row],[Drug Name4]],'Data Options'!$R$1:$S$100,2,FALSE), " ")</f>
        <v xml:space="preserve"> </v>
      </c>
      <c r="AI75" s="32"/>
      <c r="AJ75" s="32"/>
      <c r="AK75" s="53"/>
      <c r="AL75" s="21" t="str">
        <f>IFERROR(VLOOKUP(November[[#This Row],[Drug Name5]],'Data Options'!$R$1:$S$100,2,FALSE), " ")</f>
        <v xml:space="preserve"> </v>
      </c>
      <c r="AM75" s="32"/>
      <c r="AN75" s="32"/>
      <c r="AO75" s="53"/>
      <c r="AP75" s="21" t="str">
        <f>IFERROR(VLOOKUP(November[[#This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21" t="str">
        <f>IFERROR(VLOOKUP(November[[#This Row],[Drug Name7]],'Data Options'!$R$1:$S$100,2,FALSE), " ")</f>
        <v xml:space="preserve"> </v>
      </c>
      <c r="AZ75" s="32"/>
      <c r="BA75" s="32"/>
      <c r="BB75" s="53"/>
      <c r="BC75" s="21" t="str">
        <f>IFERROR(VLOOKUP(November[[#This Row],[Drug Name8]],'Data Options'!$R$1:$S$100,2,FALSE), " ")</f>
        <v xml:space="preserve"> </v>
      </c>
      <c r="BD75" s="32"/>
      <c r="BE75" s="32"/>
      <c r="BF75" s="53"/>
      <c r="BG75" s="21" t="str">
        <f>IFERROR(VLOOKUP(November[[#This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21" t="str">
        <f>IFERROR(VLOOKUP(November[[#This Row],[Drug Name]],'Data Options'!$R$1:$S$100,2,FALSE), " ")</f>
        <v xml:space="preserve"> </v>
      </c>
      <c r="R76" s="32"/>
      <c r="S76" s="32"/>
      <c r="T76" s="53"/>
      <c r="U76" s="21" t="str">
        <f>IFERROR(VLOOKUP(November[[#This Row],[Drug Name2]],'Data Options'!$R$1:$S$100,2,FALSE), " ")</f>
        <v xml:space="preserve"> </v>
      </c>
      <c r="V76" s="32"/>
      <c r="W76" s="32"/>
      <c r="X76" s="53"/>
      <c r="Y76" s="21" t="str">
        <f>IFERROR(VLOOKUP(November[[#This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21" t="str">
        <f>IFERROR(VLOOKUP(November[[#This Row],[Drug Name4]],'Data Options'!$R$1:$S$100,2,FALSE), " ")</f>
        <v xml:space="preserve"> </v>
      </c>
      <c r="AI76" s="32"/>
      <c r="AJ76" s="32"/>
      <c r="AK76" s="53"/>
      <c r="AL76" s="21" t="str">
        <f>IFERROR(VLOOKUP(November[[#This Row],[Drug Name5]],'Data Options'!$R$1:$S$100,2,FALSE), " ")</f>
        <v xml:space="preserve"> </v>
      </c>
      <c r="AM76" s="32"/>
      <c r="AN76" s="32"/>
      <c r="AO76" s="53"/>
      <c r="AP76" s="21" t="str">
        <f>IFERROR(VLOOKUP(November[[#This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21" t="str">
        <f>IFERROR(VLOOKUP(November[[#This Row],[Drug Name7]],'Data Options'!$R$1:$S$100,2,FALSE), " ")</f>
        <v xml:space="preserve"> </v>
      </c>
      <c r="AZ76" s="32"/>
      <c r="BA76" s="32"/>
      <c r="BB76" s="53"/>
      <c r="BC76" s="21" t="str">
        <f>IFERROR(VLOOKUP(November[[#This Row],[Drug Name8]],'Data Options'!$R$1:$S$100,2,FALSE), " ")</f>
        <v xml:space="preserve"> </v>
      </c>
      <c r="BD76" s="32"/>
      <c r="BE76" s="32"/>
      <c r="BF76" s="53"/>
      <c r="BG76" s="21" t="str">
        <f>IFERROR(VLOOKUP(November[[#This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21" t="str">
        <f>IFERROR(VLOOKUP(November[[#This Row],[Drug Name]],'Data Options'!$R$1:$S$100,2,FALSE), " ")</f>
        <v xml:space="preserve"> </v>
      </c>
      <c r="R77" s="32"/>
      <c r="S77" s="32"/>
      <c r="T77" s="53"/>
      <c r="U77" s="21" t="str">
        <f>IFERROR(VLOOKUP(November[[#This Row],[Drug Name2]],'Data Options'!$R$1:$S$100,2,FALSE), " ")</f>
        <v xml:space="preserve"> </v>
      </c>
      <c r="V77" s="32"/>
      <c r="W77" s="32"/>
      <c r="X77" s="53"/>
      <c r="Y77" s="21" t="str">
        <f>IFERROR(VLOOKUP(November[[#This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21" t="str">
        <f>IFERROR(VLOOKUP(November[[#This Row],[Drug Name4]],'Data Options'!$R$1:$S$100,2,FALSE), " ")</f>
        <v xml:space="preserve"> </v>
      </c>
      <c r="AI77" s="32"/>
      <c r="AJ77" s="32"/>
      <c r="AK77" s="53"/>
      <c r="AL77" s="21" t="str">
        <f>IFERROR(VLOOKUP(November[[#This Row],[Drug Name5]],'Data Options'!$R$1:$S$100,2,FALSE), " ")</f>
        <v xml:space="preserve"> </v>
      </c>
      <c r="AM77" s="32"/>
      <c r="AN77" s="32"/>
      <c r="AO77" s="53"/>
      <c r="AP77" s="21" t="str">
        <f>IFERROR(VLOOKUP(November[[#This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21" t="str">
        <f>IFERROR(VLOOKUP(November[[#This Row],[Drug Name7]],'Data Options'!$R$1:$S$100,2,FALSE), " ")</f>
        <v xml:space="preserve"> </v>
      </c>
      <c r="AZ77" s="32"/>
      <c r="BA77" s="32"/>
      <c r="BB77" s="53"/>
      <c r="BC77" s="21" t="str">
        <f>IFERROR(VLOOKUP(November[[#This Row],[Drug Name8]],'Data Options'!$R$1:$S$100,2,FALSE), " ")</f>
        <v xml:space="preserve"> </v>
      </c>
      <c r="BD77" s="32"/>
      <c r="BE77" s="32"/>
      <c r="BF77" s="53"/>
      <c r="BG77" s="21" t="str">
        <f>IFERROR(VLOOKUP(November[[#This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21" t="str">
        <f>IFERROR(VLOOKUP(November[[#This Row],[Drug Name]],'Data Options'!$R$1:$S$100,2,FALSE), " ")</f>
        <v xml:space="preserve"> </v>
      </c>
      <c r="R78" s="32"/>
      <c r="S78" s="32"/>
      <c r="T78" s="53"/>
      <c r="U78" s="21" t="str">
        <f>IFERROR(VLOOKUP(November[[#This Row],[Drug Name2]],'Data Options'!$R$1:$S$100,2,FALSE), " ")</f>
        <v xml:space="preserve"> </v>
      </c>
      <c r="V78" s="32"/>
      <c r="W78" s="32"/>
      <c r="X78" s="53"/>
      <c r="Y78" s="21" t="str">
        <f>IFERROR(VLOOKUP(November[[#This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21" t="str">
        <f>IFERROR(VLOOKUP(November[[#This Row],[Drug Name4]],'Data Options'!$R$1:$S$100,2,FALSE), " ")</f>
        <v xml:space="preserve"> </v>
      </c>
      <c r="AI78" s="32"/>
      <c r="AJ78" s="32"/>
      <c r="AK78" s="53"/>
      <c r="AL78" s="21" t="str">
        <f>IFERROR(VLOOKUP(November[[#This Row],[Drug Name5]],'Data Options'!$R$1:$S$100,2,FALSE), " ")</f>
        <v xml:space="preserve"> </v>
      </c>
      <c r="AM78" s="32"/>
      <c r="AN78" s="32"/>
      <c r="AO78" s="53"/>
      <c r="AP78" s="21" t="str">
        <f>IFERROR(VLOOKUP(November[[#This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21" t="str">
        <f>IFERROR(VLOOKUP(November[[#This Row],[Drug Name7]],'Data Options'!$R$1:$S$100,2,FALSE), " ")</f>
        <v xml:space="preserve"> </v>
      </c>
      <c r="AZ78" s="32"/>
      <c r="BA78" s="32"/>
      <c r="BB78" s="53"/>
      <c r="BC78" s="21" t="str">
        <f>IFERROR(VLOOKUP(November[[#This Row],[Drug Name8]],'Data Options'!$R$1:$S$100,2,FALSE), " ")</f>
        <v xml:space="preserve"> </v>
      </c>
      <c r="BD78" s="32"/>
      <c r="BE78" s="32"/>
      <c r="BF78" s="53"/>
      <c r="BG78" s="21" t="str">
        <f>IFERROR(VLOOKUP(November[[#This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21" t="str">
        <f>IFERROR(VLOOKUP(November[[#This Row],[Drug Name]],'Data Options'!$R$1:$S$100,2,FALSE), " ")</f>
        <v xml:space="preserve"> </v>
      </c>
      <c r="R79" s="32"/>
      <c r="S79" s="32"/>
      <c r="T79" s="53"/>
      <c r="U79" s="21" t="str">
        <f>IFERROR(VLOOKUP(November[[#This Row],[Drug Name2]],'Data Options'!$R$1:$S$100,2,FALSE), " ")</f>
        <v xml:space="preserve"> </v>
      </c>
      <c r="V79" s="32"/>
      <c r="W79" s="32"/>
      <c r="X79" s="53"/>
      <c r="Y79" s="21" t="str">
        <f>IFERROR(VLOOKUP(November[[#This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21" t="str">
        <f>IFERROR(VLOOKUP(November[[#This Row],[Drug Name4]],'Data Options'!$R$1:$S$100,2,FALSE), " ")</f>
        <v xml:space="preserve"> </v>
      </c>
      <c r="AI79" s="32"/>
      <c r="AJ79" s="32"/>
      <c r="AK79" s="53"/>
      <c r="AL79" s="21" t="str">
        <f>IFERROR(VLOOKUP(November[[#This Row],[Drug Name5]],'Data Options'!$R$1:$S$100,2,FALSE), " ")</f>
        <v xml:space="preserve"> </v>
      </c>
      <c r="AM79" s="32"/>
      <c r="AN79" s="32"/>
      <c r="AO79" s="53"/>
      <c r="AP79" s="21" t="str">
        <f>IFERROR(VLOOKUP(November[[#This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21" t="str">
        <f>IFERROR(VLOOKUP(November[[#This Row],[Drug Name7]],'Data Options'!$R$1:$S$100,2,FALSE), " ")</f>
        <v xml:space="preserve"> </v>
      </c>
      <c r="AZ79" s="32"/>
      <c r="BA79" s="32"/>
      <c r="BB79" s="53"/>
      <c r="BC79" s="21" t="str">
        <f>IFERROR(VLOOKUP(November[[#This Row],[Drug Name8]],'Data Options'!$R$1:$S$100,2,FALSE), " ")</f>
        <v xml:space="preserve"> </v>
      </c>
      <c r="BD79" s="32"/>
      <c r="BE79" s="32"/>
      <c r="BF79" s="53"/>
      <c r="BG79" s="21" t="str">
        <f>IFERROR(VLOOKUP(November[[#This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21" t="str">
        <f>IFERROR(VLOOKUP(November[[#This Row],[Drug Name]],'Data Options'!$R$1:$S$100,2,FALSE), " ")</f>
        <v xml:space="preserve"> </v>
      </c>
      <c r="R80" s="32"/>
      <c r="S80" s="32"/>
      <c r="T80" s="53"/>
      <c r="U80" s="21" t="str">
        <f>IFERROR(VLOOKUP(November[[#This Row],[Drug Name2]],'Data Options'!$R$1:$S$100,2,FALSE), " ")</f>
        <v xml:space="preserve"> </v>
      </c>
      <c r="V80" s="32"/>
      <c r="W80" s="32"/>
      <c r="X80" s="53"/>
      <c r="Y80" s="21" t="str">
        <f>IFERROR(VLOOKUP(November[[#This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21" t="str">
        <f>IFERROR(VLOOKUP(November[[#This Row],[Drug Name4]],'Data Options'!$R$1:$S$100,2,FALSE), " ")</f>
        <v xml:space="preserve"> </v>
      </c>
      <c r="AI80" s="32"/>
      <c r="AJ80" s="32"/>
      <c r="AK80" s="53"/>
      <c r="AL80" s="21" t="str">
        <f>IFERROR(VLOOKUP(November[[#This Row],[Drug Name5]],'Data Options'!$R$1:$S$100,2,FALSE), " ")</f>
        <v xml:space="preserve"> </v>
      </c>
      <c r="AM80" s="32"/>
      <c r="AN80" s="32"/>
      <c r="AO80" s="53"/>
      <c r="AP80" s="21" t="str">
        <f>IFERROR(VLOOKUP(November[[#This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21" t="str">
        <f>IFERROR(VLOOKUP(November[[#This Row],[Drug Name7]],'Data Options'!$R$1:$S$100,2,FALSE), " ")</f>
        <v xml:space="preserve"> </v>
      </c>
      <c r="AZ80" s="32"/>
      <c r="BA80" s="32"/>
      <c r="BB80" s="53"/>
      <c r="BC80" s="21" t="str">
        <f>IFERROR(VLOOKUP(November[[#This Row],[Drug Name8]],'Data Options'!$R$1:$S$100,2,FALSE), " ")</f>
        <v xml:space="preserve"> </v>
      </c>
      <c r="BD80" s="32"/>
      <c r="BE80" s="32"/>
      <c r="BF80" s="53"/>
      <c r="BG80" s="21" t="str">
        <f>IFERROR(VLOOKUP(November[[#This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21" t="str">
        <f>IFERROR(VLOOKUP(November[[#This Row],[Drug Name]],'Data Options'!$R$1:$S$100,2,FALSE), " ")</f>
        <v xml:space="preserve"> </v>
      </c>
      <c r="R81" s="32"/>
      <c r="S81" s="32"/>
      <c r="T81" s="53"/>
      <c r="U81" s="21" t="str">
        <f>IFERROR(VLOOKUP(November[[#This Row],[Drug Name2]],'Data Options'!$R$1:$S$100,2,FALSE), " ")</f>
        <v xml:space="preserve"> </v>
      </c>
      <c r="V81" s="32"/>
      <c r="W81" s="32"/>
      <c r="X81" s="53"/>
      <c r="Y81" s="21" t="str">
        <f>IFERROR(VLOOKUP(November[[#This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21" t="str">
        <f>IFERROR(VLOOKUP(November[[#This Row],[Drug Name4]],'Data Options'!$R$1:$S$100,2,FALSE), " ")</f>
        <v xml:space="preserve"> </v>
      </c>
      <c r="AI81" s="32"/>
      <c r="AJ81" s="32"/>
      <c r="AK81" s="53"/>
      <c r="AL81" s="21" t="str">
        <f>IFERROR(VLOOKUP(November[[#This Row],[Drug Name5]],'Data Options'!$R$1:$S$100,2,FALSE), " ")</f>
        <v xml:space="preserve"> </v>
      </c>
      <c r="AM81" s="32"/>
      <c r="AN81" s="32"/>
      <c r="AO81" s="53"/>
      <c r="AP81" s="21" t="str">
        <f>IFERROR(VLOOKUP(November[[#This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21" t="str">
        <f>IFERROR(VLOOKUP(November[[#This Row],[Drug Name7]],'Data Options'!$R$1:$S$100,2,FALSE), " ")</f>
        <v xml:space="preserve"> </v>
      </c>
      <c r="AZ81" s="32"/>
      <c r="BA81" s="32"/>
      <c r="BB81" s="53"/>
      <c r="BC81" s="21" t="str">
        <f>IFERROR(VLOOKUP(November[[#This Row],[Drug Name8]],'Data Options'!$R$1:$S$100,2,FALSE), " ")</f>
        <v xml:space="preserve"> </v>
      </c>
      <c r="BD81" s="32"/>
      <c r="BE81" s="32"/>
      <c r="BF81" s="53"/>
      <c r="BG81" s="21" t="str">
        <f>IFERROR(VLOOKUP(November[[#This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21" t="str">
        <f>IFERROR(VLOOKUP(November[[#This Row],[Drug Name]],'Data Options'!$R$1:$S$100,2,FALSE), " ")</f>
        <v xml:space="preserve"> </v>
      </c>
      <c r="R82" s="32"/>
      <c r="S82" s="32"/>
      <c r="T82" s="53"/>
      <c r="U82" s="21" t="str">
        <f>IFERROR(VLOOKUP(November[[#This Row],[Drug Name2]],'Data Options'!$R$1:$S$100,2,FALSE), " ")</f>
        <v xml:space="preserve"> </v>
      </c>
      <c r="V82" s="32"/>
      <c r="W82" s="32"/>
      <c r="X82" s="53"/>
      <c r="Y82" s="21" t="str">
        <f>IFERROR(VLOOKUP(November[[#This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21" t="str">
        <f>IFERROR(VLOOKUP(November[[#This Row],[Drug Name4]],'Data Options'!$R$1:$S$100,2,FALSE), " ")</f>
        <v xml:space="preserve"> </v>
      </c>
      <c r="AI82" s="32"/>
      <c r="AJ82" s="32"/>
      <c r="AK82" s="53"/>
      <c r="AL82" s="21" t="str">
        <f>IFERROR(VLOOKUP(November[[#This Row],[Drug Name5]],'Data Options'!$R$1:$S$100,2,FALSE), " ")</f>
        <v xml:space="preserve"> </v>
      </c>
      <c r="AM82" s="32"/>
      <c r="AN82" s="32"/>
      <c r="AO82" s="53"/>
      <c r="AP82" s="21" t="str">
        <f>IFERROR(VLOOKUP(November[[#This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21" t="str">
        <f>IFERROR(VLOOKUP(November[[#This Row],[Drug Name7]],'Data Options'!$R$1:$S$100,2,FALSE), " ")</f>
        <v xml:space="preserve"> </v>
      </c>
      <c r="AZ82" s="32"/>
      <c r="BA82" s="32"/>
      <c r="BB82" s="53"/>
      <c r="BC82" s="21" t="str">
        <f>IFERROR(VLOOKUP(November[[#This Row],[Drug Name8]],'Data Options'!$R$1:$S$100,2,FALSE), " ")</f>
        <v xml:space="preserve"> </v>
      </c>
      <c r="BD82" s="32"/>
      <c r="BE82" s="32"/>
      <c r="BF82" s="53"/>
      <c r="BG82" s="21" t="str">
        <f>IFERROR(VLOOKUP(November[[#This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21" t="str">
        <f>IFERROR(VLOOKUP(November[[#This Row],[Drug Name]],'Data Options'!$R$1:$S$100,2,FALSE), " ")</f>
        <v xml:space="preserve"> </v>
      </c>
      <c r="R83" s="32"/>
      <c r="S83" s="32"/>
      <c r="T83" s="53"/>
      <c r="U83" s="21" t="str">
        <f>IFERROR(VLOOKUP(November[[#This Row],[Drug Name2]],'Data Options'!$R$1:$S$100,2,FALSE), " ")</f>
        <v xml:space="preserve"> </v>
      </c>
      <c r="V83" s="32"/>
      <c r="W83" s="32"/>
      <c r="X83" s="53"/>
      <c r="Y83" s="21" t="str">
        <f>IFERROR(VLOOKUP(November[[#This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21" t="str">
        <f>IFERROR(VLOOKUP(November[[#This Row],[Drug Name4]],'Data Options'!$R$1:$S$100,2,FALSE), " ")</f>
        <v xml:space="preserve"> </v>
      </c>
      <c r="AI83" s="32"/>
      <c r="AJ83" s="32"/>
      <c r="AK83" s="53"/>
      <c r="AL83" s="21" t="str">
        <f>IFERROR(VLOOKUP(November[[#This Row],[Drug Name5]],'Data Options'!$R$1:$S$100,2,FALSE), " ")</f>
        <v xml:space="preserve"> </v>
      </c>
      <c r="AM83" s="32"/>
      <c r="AN83" s="32"/>
      <c r="AO83" s="53"/>
      <c r="AP83" s="21" t="str">
        <f>IFERROR(VLOOKUP(November[[#This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21" t="str">
        <f>IFERROR(VLOOKUP(November[[#This Row],[Drug Name7]],'Data Options'!$R$1:$S$100,2,FALSE), " ")</f>
        <v xml:space="preserve"> </v>
      </c>
      <c r="AZ83" s="32"/>
      <c r="BA83" s="32"/>
      <c r="BB83" s="53"/>
      <c r="BC83" s="21" t="str">
        <f>IFERROR(VLOOKUP(November[[#This Row],[Drug Name8]],'Data Options'!$R$1:$S$100,2,FALSE), " ")</f>
        <v xml:space="preserve"> </v>
      </c>
      <c r="BD83" s="32"/>
      <c r="BE83" s="32"/>
      <c r="BF83" s="53"/>
      <c r="BG83" s="21" t="str">
        <f>IFERROR(VLOOKUP(November[[#This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21" t="str">
        <f>IFERROR(VLOOKUP(November[[#This Row],[Drug Name]],'Data Options'!$R$1:$S$100,2,FALSE), " ")</f>
        <v xml:space="preserve"> </v>
      </c>
      <c r="R84" s="32"/>
      <c r="S84" s="32"/>
      <c r="T84" s="53"/>
      <c r="U84" s="21" t="str">
        <f>IFERROR(VLOOKUP(November[[#This Row],[Drug Name2]],'Data Options'!$R$1:$S$100,2,FALSE), " ")</f>
        <v xml:space="preserve"> </v>
      </c>
      <c r="V84" s="32"/>
      <c r="W84" s="32"/>
      <c r="X84" s="53"/>
      <c r="Y84" s="21" t="str">
        <f>IFERROR(VLOOKUP(November[[#This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21" t="str">
        <f>IFERROR(VLOOKUP(November[[#This Row],[Drug Name4]],'Data Options'!$R$1:$S$100,2,FALSE), " ")</f>
        <v xml:space="preserve"> </v>
      </c>
      <c r="AI84" s="32"/>
      <c r="AJ84" s="32"/>
      <c r="AK84" s="53"/>
      <c r="AL84" s="21" t="str">
        <f>IFERROR(VLOOKUP(November[[#This Row],[Drug Name5]],'Data Options'!$R$1:$S$100,2,FALSE), " ")</f>
        <v xml:space="preserve"> </v>
      </c>
      <c r="AM84" s="32"/>
      <c r="AN84" s="32"/>
      <c r="AO84" s="53"/>
      <c r="AP84" s="21" t="str">
        <f>IFERROR(VLOOKUP(November[[#This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21" t="str">
        <f>IFERROR(VLOOKUP(November[[#This Row],[Drug Name7]],'Data Options'!$R$1:$S$100,2,FALSE), " ")</f>
        <v xml:space="preserve"> </v>
      </c>
      <c r="AZ84" s="32"/>
      <c r="BA84" s="32"/>
      <c r="BB84" s="53"/>
      <c r="BC84" s="21" t="str">
        <f>IFERROR(VLOOKUP(November[[#This Row],[Drug Name8]],'Data Options'!$R$1:$S$100,2,FALSE), " ")</f>
        <v xml:space="preserve"> </v>
      </c>
      <c r="BD84" s="32"/>
      <c r="BE84" s="32"/>
      <c r="BF84" s="53"/>
      <c r="BG84" s="21" t="str">
        <f>IFERROR(VLOOKUP(November[[#This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21" t="str">
        <f>IFERROR(VLOOKUP(November[[#This Row],[Drug Name]],'Data Options'!$R$1:$S$100,2,FALSE), " ")</f>
        <v xml:space="preserve"> </v>
      </c>
      <c r="R85" s="32"/>
      <c r="S85" s="32"/>
      <c r="T85" s="53"/>
      <c r="U85" s="21" t="str">
        <f>IFERROR(VLOOKUP(November[[#This Row],[Drug Name2]],'Data Options'!$R$1:$S$100,2,FALSE), " ")</f>
        <v xml:space="preserve"> </v>
      </c>
      <c r="V85" s="32"/>
      <c r="W85" s="32"/>
      <c r="X85" s="53"/>
      <c r="Y85" s="21" t="str">
        <f>IFERROR(VLOOKUP(November[[#This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21" t="str">
        <f>IFERROR(VLOOKUP(November[[#This Row],[Drug Name4]],'Data Options'!$R$1:$S$100,2,FALSE), " ")</f>
        <v xml:space="preserve"> </v>
      </c>
      <c r="AI85" s="32"/>
      <c r="AJ85" s="32"/>
      <c r="AK85" s="53"/>
      <c r="AL85" s="21" t="str">
        <f>IFERROR(VLOOKUP(November[[#This Row],[Drug Name5]],'Data Options'!$R$1:$S$100,2,FALSE), " ")</f>
        <v xml:space="preserve"> </v>
      </c>
      <c r="AM85" s="32"/>
      <c r="AN85" s="32"/>
      <c r="AO85" s="53"/>
      <c r="AP85" s="21" t="str">
        <f>IFERROR(VLOOKUP(November[[#This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21" t="str">
        <f>IFERROR(VLOOKUP(November[[#This Row],[Drug Name7]],'Data Options'!$R$1:$S$100,2,FALSE), " ")</f>
        <v xml:space="preserve"> </v>
      </c>
      <c r="AZ85" s="32"/>
      <c r="BA85" s="32"/>
      <c r="BB85" s="53"/>
      <c r="BC85" s="21" t="str">
        <f>IFERROR(VLOOKUP(November[[#This Row],[Drug Name8]],'Data Options'!$R$1:$S$100,2,FALSE), " ")</f>
        <v xml:space="preserve"> </v>
      </c>
      <c r="BD85" s="32"/>
      <c r="BE85" s="32"/>
      <c r="BF85" s="53"/>
      <c r="BG85" s="21" t="str">
        <f>IFERROR(VLOOKUP(November[[#This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21" t="str">
        <f>IFERROR(VLOOKUP(November[[#This Row],[Drug Name]],'Data Options'!$R$1:$S$100,2,FALSE), " ")</f>
        <v xml:space="preserve"> </v>
      </c>
      <c r="R86" s="32"/>
      <c r="S86" s="32"/>
      <c r="T86" s="53"/>
      <c r="U86" s="21" t="str">
        <f>IFERROR(VLOOKUP(November[[#This Row],[Drug Name2]],'Data Options'!$R$1:$S$100,2,FALSE), " ")</f>
        <v xml:space="preserve"> </v>
      </c>
      <c r="V86" s="32"/>
      <c r="W86" s="32"/>
      <c r="X86" s="53"/>
      <c r="Y86" s="21" t="str">
        <f>IFERROR(VLOOKUP(November[[#This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21" t="str">
        <f>IFERROR(VLOOKUP(November[[#This Row],[Drug Name4]],'Data Options'!$R$1:$S$100,2,FALSE), " ")</f>
        <v xml:space="preserve"> </v>
      </c>
      <c r="AI86" s="32"/>
      <c r="AJ86" s="32"/>
      <c r="AK86" s="53"/>
      <c r="AL86" s="21" t="str">
        <f>IFERROR(VLOOKUP(November[[#This Row],[Drug Name5]],'Data Options'!$R$1:$S$100,2,FALSE), " ")</f>
        <v xml:space="preserve"> </v>
      </c>
      <c r="AM86" s="32"/>
      <c r="AN86" s="32"/>
      <c r="AO86" s="53"/>
      <c r="AP86" s="21" t="str">
        <f>IFERROR(VLOOKUP(November[[#This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21" t="str">
        <f>IFERROR(VLOOKUP(November[[#This Row],[Drug Name7]],'Data Options'!$R$1:$S$100,2,FALSE), " ")</f>
        <v xml:space="preserve"> </v>
      </c>
      <c r="AZ86" s="32"/>
      <c r="BA86" s="32"/>
      <c r="BB86" s="53"/>
      <c r="BC86" s="21" t="str">
        <f>IFERROR(VLOOKUP(November[[#This Row],[Drug Name8]],'Data Options'!$R$1:$S$100,2,FALSE), " ")</f>
        <v xml:space="preserve"> </v>
      </c>
      <c r="BD86" s="32"/>
      <c r="BE86" s="32"/>
      <c r="BF86" s="53"/>
      <c r="BG86" s="21" t="str">
        <f>IFERROR(VLOOKUP(November[[#This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21" t="str">
        <f>IFERROR(VLOOKUP(November[[#This Row],[Drug Name]],'Data Options'!$R$1:$S$100,2,FALSE), " ")</f>
        <v xml:space="preserve"> </v>
      </c>
      <c r="R87" s="32"/>
      <c r="S87" s="32"/>
      <c r="T87" s="53"/>
      <c r="U87" s="21" t="str">
        <f>IFERROR(VLOOKUP(November[[#This Row],[Drug Name2]],'Data Options'!$R$1:$S$100,2,FALSE), " ")</f>
        <v xml:space="preserve"> </v>
      </c>
      <c r="V87" s="32"/>
      <c r="W87" s="32"/>
      <c r="X87" s="53"/>
      <c r="Y87" s="21" t="str">
        <f>IFERROR(VLOOKUP(November[[#This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21" t="str">
        <f>IFERROR(VLOOKUP(November[[#This Row],[Drug Name4]],'Data Options'!$R$1:$S$100,2,FALSE), " ")</f>
        <v xml:space="preserve"> </v>
      </c>
      <c r="AI87" s="32"/>
      <c r="AJ87" s="32"/>
      <c r="AK87" s="53"/>
      <c r="AL87" s="21" t="str">
        <f>IFERROR(VLOOKUP(November[[#This Row],[Drug Name5]],'Data Options'!$R$1:$S$100,2,FALSE), " ")</f>
        <v xml:space="preserve"> </v>
      </c>
      <c r="AM87" s="32"/>
      <c r="AN87" s="32"/>
      <c r="AO87" s="53"/>
      <c r="AP87" s="21" t="str">
        <f>IFERROR(VLOOKUP(November[[#This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21" t="str">
        <f>IFERROR(VLOOKUP(November[[#This Row],[Drug Name7]],'Data Options'!$R$1:$S$100,2,FALSE), " ")</f>
        <v xml:space="preserve"> </v>
      </c>
      <c r="AZ87" s="32"/>
      <c r="BA87" s="32"/>
      <c r="BB87" s="53"/>
      <c r="BC87" s="21" t="str">
        <f>IFERROR(VLOOKUP(November[[#This Row],[Drug Name8]],'Data Options'!$R$1:$S$100,2,FALSE), " ")</f>
        <v xml:space="preserve"> </v>
      </c>
      <c r="BD87" s="32"/>
      <c r="BE87" s="32"/>
      <c r="BF87" s="53"/>
      <c r="BG87" s="21" t="str">
        <f>IFERROR(VLOOKUP(November[[#This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21" t="str">
        <f>IFERROR(VLOOKUP(November[[#This Row],[Drug Name]],'Data Options'!$R$1:$S$100,2,FALSE), " ")</f>
        <v xml:space="preserve"> </v>
      </c>
      <c r="R88" s="32"/>
      <c r="S88" s="32"/>
      <c r="T88" s="53"/>
      <c r="U88" s="21" t="str">
        <f>IFERROR(VLOOKUP(November[[#This Row],[Drug Name2]],'Data Options'!$R$1:$S$100,2,FALSE), " ")</f>
        <v xml:space="preserve"> </v>
      </c>
      <c r="V88" s="32"/>
      <c r="W88" s="32"/>
      <c r="X88" s="53"/>
      <c r="Y88" s="21" t="str">
        <f>IFERROR(VLOOKUP(November[[#This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21" t="str">
        <f>IFERROR(VLOOKUP(November[[#This Row],[Drug Name4]],'Data Options'!$R$1:$S$100,2,FALSE), " ")</f>
        <v xml:space="preserve"> </v>
      </c>
      <c r="AI88" s="32"/>
      <c r="AJ88" s="32"/>
      <c r="AK88" s="53"/>
      <c r="AL88" s="21" t="str">
        <f>IFERROR(VLOOKUP(November[[#This Row],[Drug Name5]],'Data Options'!$R$1:$S$100,2,FALSE), " ")</f>
        <v xml:space="preserve"> </v>
      </c>
      <c r="AM88" s="32"/>
      <c r="AN88" s="32"/>
      <c r="AO88" s="53"/>
      <c r="AP88" s="21" t="str">
        <f>IFERROR(VLOOKUP(November[[#This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21" t="str">
        <f>IFERROR(VLOOKUP(November[[#This Row],[Drug Name7]],'Data Options'!$R$1:$S$100,2,FALSE), " ")</f>
        <v xml:space="preserve"> </v>
      </c>
      <c r="AZ88" s="32"/>
      <c r="BA88" s="32"/>
      <c r="BB88" s="53"/>
      <c r="BC88" s="21" t="str">
        <f>IFERROR(VLOOKUP(November[[#This Row],[Drug Name8]],'Data Options'!$R$1:$S$100,2,FALSE), " ")</f>
        <v xml:space="preserve"> </v>
      </c>
      <c r="BD88" s="32"/>
      <c r="BE88" s="32"/>
      <c r="BF88" s="53"/>
      <c r="BG88" s="21" t="str">
        <f>IFERROR(VLOOKUP(November[[#This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21" t="str">
        <f>IFERROR(VLOOKUP(November[[#This Row],[Drug Name]],'Data Options'!$R$1:$S$100,2,FALSE), " ")</f>
        <v xml:space="preserve"> </v>
      </c>
      <c r="R89" s="32"/>
      <c r="S89" s="32"/>
      <c r="T89" s="53"/>
      <c r="U89" s="21" t="str">
        <f>IFERROR(VLOOKUP(November[[#This Row],[Drug Name2]],'Data Options'!$R$1:$S$100,2,FALSE), " ")</f>
        <v xml:space="preserve"> </v>
      </c>
      <c r="V89" s="32"/>
      <c r="W89" s="32"/>
      <c r="X89" s="53"/>
      <c r="Y89" s="21" t="str">
        <f>IFERROR(VLOOKUP(November[[#This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21" t="str">
        <f>IFERROR(VLOOKUP(November[[#This Row],[Drug Name4]],'Data Options'!$R$1:$S$100,2,FALSE), " ")</f>
        <v xml:space="preserve"> </v>
      </c>
      <c r="AI89" s="32"/>
      <c r="AJ89" s="32"/>
      <c r="AK89" s="53"/>
      <c r="AL89" s="21" t="str">
        <f>IFERROR(VLOOKUP(November[[#This Row],[Drug Name5]],'Data Options'!$R$1:$S$100,2,FALSE), " ")</f>
        <v xml:space="preserve"> </v>
      </c>
      <c r="AM89" s="32"/>
      <c r="AN89" s="32"/>
      <c r="AO89" s="53"/>
      <c r="AP89" s="21" t="str">
        <f>IFERROR(VLOOKUP(November[[#This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21" t="str">
        <f>IFERROR(VLOOKUP(November[[#This Row],[Drug Name7]],'Data Options'!$R$1:$S$100,2,FALSE), " ")</f>
        <v xml:space="preserve"> </v>
      </c>
      <c r="AZ89" s="32"/>
      <c r="BA89" s="32"/>
      <c r="BB89" s="53"/>
      <c r="BC89" s="21" t="str">
        <f>IFERROR(VLOOKUP(November[[#This Row],[Drug Name8]],'Data Options'!$R$1:$S$100,2,FALSE), " ")</f>
        <v xml:space="preserve"> </v>
      </c>
      <c r="BD89" s="32"/>
      <c r="BE89" s="32"/>
      <c r="BF89" s="53"/>
      <c r="BG89" s="21" t="str">
        <f>IFERROR(VLOOKUP(November[[#This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21" t="str">
        <f>IFERROR(VLOOKUP(November[[#This Row],[Drug Name]],'Data Options'!$R$1:$S$100,2,FALSE), " ")</f>
        <v xml:space="preserve"> </v>
      </c>
      <c r="R90" s="32"/>
      <c r="S90" s="32"/>
      <c r="T90" s="53"/>
      <c r="U90" s="21" t="str">
        <f>IFERROR(VLOOKUP(November[[#This Row],[Drug Name2]],'Data Options'!$R$1:$S$100,2,FALSE), " ")</f>
        <v xml:space="preserve"> </v>
      </c>
      <c r="V90" s="32"/>
      <c r="W90" s="32"/>
      <c r="X90" s="53"/>
      <c r="Y90" s="21" t="str">
        <f>IFERROR(VLOOKUP(November[[#This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21" t="str">
        <f>IFERROR(VLOOKUP(November[[#This Row],[Drug Name4]],'Data Options'!$R$1:$S$100,2,FALSE), " ")</f>
        <v xml:space="preserve"> </v>
      </c>
      <c r="AI90" s="32"/>
      <c r="AJ90" s="32"/>
      <c r="AK90" s="53"/>
      <c r="AL90" s="21" t="str">
        <f>IFERROR(VLOOKUP(November[[#This Row],[Drug Name5]],'Data Options'!$R$1:$S$100,2,FALSE), " ")</f>
        <v xml:space="preserve"> </v>
      </c>
      <c r="AM90" s="32"/>
      <c r="AN90" s="32"/>
      <c r="AO90" s="53"/>
      <c r="AP90" s="21" t="str">
        <f>IFERROR(VLOOKUP(November[[#This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21" t="str">
        <f>IFERROR(VLOOKUP(November[[#This Row],[Drug Name7]],'Data Options'!$R$1:$S$100,2,FALSE), " ")</f>
        <v xml:space="preserve"> </v>
      </c>
      <c r="AZ90" s="32"/>
      <c r="BA90" s="32"/>
      <c r="BB90" s="53"/>
      <c r="BC90" s="21" t="str">
        <f>IFERROR(VLOOKUP(November[[#This Row],[Drug Name8]],'Data Options'!$R$1:$S$100,2,FALSE), " ")</f>
        <v xml:space="preserve"> </v>
      </c>
      <c r="BD90" s="32"/>
      <c r="BE90" s="32"/>
      <c r="BF90" s="53"/>
      <c r="BG90" s="21" t="str">
        <f>IFERROR(VLOOKUP(November[[#This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21" t="str">
        <f>IFERROR(VLOOKUP(November[[#This Row],[Drug Name]],'Data Options'!$R$1:$S$100,2,FALSE), " ")</f>
        <v xml:space="preserve"> </v>
      </c>
      <c r="R91" s="32"/>
      <c r="S91" s="32"/>
      <c r="T91" s="53"/>
      <c r="U91" s="21" t="str">
        <f>IFERROR(VLOOKUP(November[[#This Row],[Drug Name2]],'Data Options'!$R$1:$S$100,2,FALSE), " ")</f>
        <v xml:space="preserve"> </v>
      </c>
      <c r="V91" s="32"/>
      <c r="W91" s="32"/>
      <c r="X91" s="53"/>
      <c r="Y91" s="21" t="str">
        <f>IFERROR(VLOOKUP(November[[#This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21" t="str">
        <f>IFERROR(VLOOKUP(November[[#This Row],[Drug Name4]],'Data Options'!$R$1:$S$100,2,FALSE), " ")</f>
        <v xml:space="preserve"> </v>
      </c>
      <c r="AI91" s="32"/>
      <c r="AJ91" s="32"/>
      <c r="AK91" s="53"/>
      <c r="AL91" s="21" t="str">
        <f>IFERROR(VLOOKUP(November[[#This Row],[Drug Name5]],'Data Options'!$R$1:$S$100,2,FALSE), " ")</f>
        <v xml:space="preserve"> </v>
      </c>
      <c r="AM91" s="32"/>
      <c r="AN91" s="32"/>
      <c r="AO91" s="53"/>
      <c r="AP91" s="21" t="str">
        <f>IFERROR(VLOOKUP(November[[#This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21" t="str">
        <f>IFERROR(VLOOKUP(November[[#This Row],[Drug Name7]],'Data Options'!$R$1:$S$100,2,FALSE), " ")</f>
        <v xml:space="preserve"> </v>
      </c>
      <c r="AZ91" s="32"/>
      <c r="BA91" s="32"/>
      <c r="BB91" s="53"/>
      <c r="BC91" s="21" t="str">
        <f>IFERROR(VLOOKUP(November[[#This Row],[Drug Name8]],'Data Options'!$R$1:$S$100,2,FALSE), " ")</f>
        <v xml:space="preserve"> </v>
      </c>
      <c r="BD91" s="32"/>
      <c r="BE91" s="32"/>
      <c r="BF91" s="53"/>
      <c r="BG91" s="21" t="str">
        <f>IFERROR(VLOOKUP(November[[#This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21" t="str">
        <f>IFERROR(VLOOKUP(November[[#This Row],[Drug Name]],'Data Options'!$R$1:$S$100,2,FALSE), " ")</f>
        <v xml:space="preserve"> </v>
      </c>
      <c r="R92" s="32"/>
      <c r="S92" s="32"/>
      <c r="T92" s="53"/>
      <c r="U92" s="21" t="str">
        <f>IFERROR(VLOOKUP(November[[#This Row],[Drug Name2]],'Data Options'!$R$1:$S$100,2,FALSE), " ")</f>
        <v xml:space="preserve"> </v>
      </c>
      <c r="V92" s="32"/>
      <c r="W92" s="32"/>
      <c r="X92" s="53"/>
      <c r="Y92" s="21" t="str">
        <f>IFERROR(VLOOKUP(November[[#This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21" t="str">
        <f>IFERROR(VLOOKUP(November[[#This Row],[Drug Name4]],'Data Options'!$R$1:$S$100,2,FALSE), " ")</f>
        <v xml:space="preserve"> </v>
      </c>
      <c r="AI92" s="32"/>
      <c r="AJ92" s="32"/>
      <c r="AK92" s="53"/>
      <c r="AL92" s="21" t="str">
        <f>IFERROR(VLOOKUP(November[[#This Row],[Drug Name5]],'Data Options'!$R$1:$S$100,2,FALSE), " ")</f>
        <v xml:space="preserve"> </v>
      </c>
      <c r="AM92" s="32"/>
      <c r="AN92" s="32"/>
      <c r="AO92" s="53"/>
      <c r="AP92" s="21" t="str">
        <f>IFERROR(VLOOKUP(November[[#This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21" t="str">
        <f>IFERROR(VLOOKUP(November[[#This Row],[Drug Name7]],'Data Options'!$R$1:$S$100,2,FALSE), " ")</f>
        <v xml:space="preserve"> </v>
      </c>
      <c r="AZ92" s="32"/>
      <c r="BA92" s="32"/>
      <c r="BB92" s="53"/>
      <c r="BC92" s="21" t="str">
        <f>IFERROR(VLOOKUP(November[[#This Row],[Drug Name8]],'Data Options'!$R$1:$S$100,2,FALSE), " ")</f>
        <v xml:space="preserve"> </v>
      </c>
      <c r="BD92" s="32"/>
      <c r="BE92" s="32"/>
      <c r="BF92" s="53"/>
      <c r="BG92" s="21" t="str">
        <f>IFERROR(VLOOKUP(November[[#This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21" t="str">
        <f>IFERROR(VLOOKUP(November[[#This Row],[Drug Name]],'Data Options'!$R$1:$S$100,2,FALSE), " ")</f>
        <v xml:space="preserve"> </v>
      </c>
      <c r="R93" s="32"/>
      <c r="S93" s="32"/>
      <c r="T93" s="53"/>
      <c r="U93" s="21" t="str">
        <f>IFERROR(VLOOKUP(November[[#This Row],[Drug Name2]],'Data Options'!$R$1:$S$100,2,FALSE), " ")</f>
        <v xml:space="preserve"> </v>
      </c>
      <c r="V93" s="32"/>
      <c r="W93" s="32"/>
      <c r="X93" s="53"/>
      <c r="Y93" s="21" t="str">
        <f>IFERROR(VLOOKUP(November[[#This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21" t="str">
        <f>IFERROR(VLOOKUP(November[[#This Row],[Drug Name4]],'Data Options'!$R$1:$S$100,2,FALSE), " ")</f>
        <v xml:space="preserve"> </v>
      </c>
      <c r="AI93" s="32"/>
      <c r="AJ93" s="32"/>
      <c r="AK93" s="53"/>
      <c r="AL93" s="21" t="str">
        <f>IFERROR(VLOOKUP(November[[#This Row],[Drug Name5]],'Data Options'!$R$1:$S$100,2,FALSE), " ")</f>
        <v xml:space="preserve"> </v>
      </c>
      <c r="AM93" s="32"/>
      <c r="AN93" s="32"/>
      <c r="AO93" s="53"/>
      <c r="AP93" s="21" t="str">
        <f>IFERROR(VLOOKUP(November[[#This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21" t="str">
        <f>IFERROR(VLOOKUP(November[[#This Row],[Drug Name7]],'Data Options'!$R$1:$S$100,2,FALSE), " ")</f>
        <v xml:space="preserve"> </v>
      </c>
      <c r="AZ93" s="32"/>
      <c r="BA93" s="32"/>
      <c r="BB93" s="53"/>
      <c r="BC93" s="21" t="str">
        <f>IFERROR(VLOOKUP(November[[#This Row],[Drug Name8]],'Data Options'!$R$1:$S$100,2,FALSE), " ")</f>
        <v xml:space="preserve"> </v>
      </c>
      <c r="BD93" s="32"/>
      <c r="BE93" s="32"/>
      <c r="BF93" s="53"/>
      <c r="BG93" s="21" t="str">
        <f>IFERROR(VLOOKUP(November[[#This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21" t="str">
        <f>IFERROR(VLOOKUP(November[[#This Row],[Drug Name]],'Data Options'!$R$1:$S$100,2,FALSE), " ")</f>
        <v xml:space="preserve"> </v>
      </c>
      <c r="R94" s="32"/>
      <c r="S94" s="32"/>
      <c r="T94" s="53"/>
      <c r="U94" s="21" t="str">
        <f>IFERROR(VLOOKUP(November[[#This Row],[Drug Name2]],'Data Options'!$R$1:$S$100,2,FALSE), " ")</f>
        <v xml:space="preserve"> </v>
      </c>
      <c r="V94" s="32"/>
      <c r="W94" s="32"/>
      <c r="X94" s="53"/>
      <c r="Y94" s="21" t="str">
        <f>IFERROR(VLOOKUP(November[[#This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21" t="str">
        <f>IFERROR(VLOOKUP(November[[#This Row],[Drug Name4]],'Data Options'!$R$1:$S$100,2,FALSE), " ")</f>
        <v xml:space="preserve"> </v>
      </c>
      <c r="AI94" s="32"/>
      <c r="AJ94" s="32"/>
      <c r="AK94" s="53"/>
      <c r="AL94" s="21" t="str">
        <f>IFERROR(VLOOKUP(November[[#This Row],[Drug Name5]],'Data Options'!$R$1:$S$100,2,FALSE), " ")</f>
        <v xml:space="preserve"> </v>
      </c>
      <c r="AM94" s="32"/>
      <c r="AN94" s="32"/>
      <c r="AO94" s="53"/>
      <c r="AP94" s="21" t="str">
        <f>IFERROR(VLOOKUP(November[[#This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21" t="str">
        <f>IFERROR(VLOOKUP(November[[#This Row],[Drug Name7]],'Data Options'!$R$1:$S$100,2,FALSE), " ")</f>
        <v xml:space="preserve"> </v>
      </c>
      <c r="AZ94" s="32"/>
      <c r="BA94" s="32"/>
      <c r="BB94" s="53"/>
      <c r="BC94" s="21" t="str">
        <f>IFERROR(VLOOKUP(November[[#This Row],[Drug Name8]],'Data Options'!$R$1:$S$100,2,FALSE), " ")</f>
        <v xml:space="preserve"> </v>
      </c>
      <c r="BD94" s="32"/>
      <c r="BE94" s="32"/>
      <c r="BF94" s="53"/>
      <c r="BG94" s="21" t="str">
        <f>IFERROR(VLOOKUP(November[[#This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21" t="str">
        <f>IFERROR(VLOOKUP(November[[#This Row],[Drug Name]],'Data Options'!$R$1:$S$100,2,FALSE), " ")</f>
        <v xml:space="preserve"> </v>
      </c>
      <c r="R95" s="32"/>
      <c r="S95" s="32"/>
      <c r="T95" s="53"/>
      <c r="U95" s="21" t="str">
        <f>IFERROR(VLOOKUP(November[[#This Row],[Drug Name2]],'Data Options'!$R$1:$S$100,2,FALSE), " ")</f>
        <v xml:space="preserve"> </v>
      </c>
      <c r="V95" s="32"/>
      <c r="W95" s="32"/>
      <c r="X95" s="53"/>
      <c r="Y95" s="21" t="str">
        <f>IFERROR(VLOOKUP(November[[#This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21" t="str">
        <f>IFERROR(VLOOKUP(November[[#This Row],[Drug Name4]],'Data Options'!$R$1:$S$100,2,FALSE), " ")</f>
        <v xml:space="preserve"> </v>
      </c>
      <c r="AI95" s="32"/>
      <c r="AJ95" s="32"/>
      <c r="AK95" s="53"/>
      <c r="AL95" s="21" t="str">
        <f>IFERROR(VLOOKUP(November[[#This Row],[Drug Name5]],'Data Options'!$R$1:$S$100,2,FALSE), " ")</f>
        <v xml:space="preserve"> </v>
      </c>
      <c r="AM95" s="32"/>
      <c r="AN95" s="32"/>
      <c r="AO95" s="53"/>
      <c r="AP95" s="21" t="str">
        <f>IFERROR(VLOOKUP(November[[#This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21" t="str">
        <f>IFERROR(VLOOKUP(November[[#This Row],[Drug Name7]],'Data Options'!$R$1:$S$100,2,FALSE), " ")</f>
        <v xml:space="preserve"> </v>
      </c>
      <c r="AZ95" s="32"/>
      <c r="BA95" s="32"/>
      <c r="BB95" s="53"/>
      <c r="BC95" s="21" t="str">
        <f>IFERROR(VLOOKUP(November[[#This Row],[Drug Name8]],'Data Options'!$R$1:$S$100,2,FALSE), " ")</f>
        <v xml:space="preserve"> </v>
      </c>
      <c r="BD95" s="32"/>
      <c r="BE95" s="32"/>
      <c r="BF95" s="53"/>
      <c r="BG95" s="21" t="str">
        <f>IFERROR(VLOOKUP(November[[#This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21" t="str">
        <f>IFERROR(VLOOKUP(November[[#This Row],[Drug Name]],'Data Options'!$R$1:$S$100,2,FALSE), " ")</f>
        <v xml:space="preserve"> </v>
      </c>
      <c r="R96" s="32"/>
      <c r="S96" s="32"/>
      <c r="T96" s="53"/>
      <c r="U96" s="21" t="str">
        <f>IFERROR(VLOOKUP(November[[#This Row],[Drug Name2]],'Data Options'!$R$1:$S$100,2,FALSE), " ")</f>
        <v xml:space="preserve"> </v>
      </c>
      <c r="V96" s="32"/>
      <c r="W96" s="32"/>
      <c r="X96" s="53"/>
      <c r="Y96" s="21" t="str">
        <f>IFERROR(VLOOKUP(November[[#This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21" t="str">
        <f>IFERROR(VLOOKUP(November[[#This Row],[Drug Name4]],'Data Options'!$R$1:$S$100,2,FALSE), " ")</f>
        <v xml:space="preserve"> </v>
      </c>
      <c r="AI96" s="32"/>
      <c r="AJ96" s="32"/>
      <c r="AK96" s="53"/>
      <c r="AL96" s="21" t="str">
        <f>IFERROR(VLOOKUP(November[[#This Row],[Drug Name5]],'Data Options'!$R$1:$S$100,2,FALSE), " ")</f>
        <v xml:space="preserve"> </v>
      </c>
      <c r="AM96" s="32"/>
      <c r="AN96" s="32"/>
      <c r="AO96" s="53"/>
      <c r="AP96" s="21" t="str">
        <f>IFERROR(VLOOKUP(November[[#This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21" t="str">
        <f>IFERROR(VLOOKUP(November[[#This Row],[Drug Name7]],'Data Options'!$R$1:$S$100,2,FALSE), " ")</f>
        <v xml:space="preserve"> </v>
      </c>
      <c r="AZ96" s="32"/>
      <c r="BA96" s="32"/>
      <c r="BB96" s="53"/>
      <c r="BC96" s="21" t="str">
        <f>IFERROR(VLOOKUP(November[[#This Row],[Drug Name8]],'Data Options'!$R$1:$S$100,2,FALSE), " ")</f>
        <v xml:space="preserve"> </v>
      </c>
      <c r="BD96" s="32"/>
      <c r="BE96" s="32"/>
      <c r="BF96" s="53"/>
      <c r="BG96" s="21" t="str">
        <f>IFERROR(VLOOKUP(November[[#This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21" t="str">
        <f>IFERROR(VLOOKUP(November[[#This Row],[Drug Name]],'Data Options'!$R$1:$S$100,2,FALSE), " ")</f>
        <v xml:space="preserve"> </v>
      </c>
      <c r="R97" s="32"/>
      <c r="S97" s="32"/>
      <c r="T97" s="53"/>
      <c r="U97" s="21" t="str">
        <f>IFERROR(VLOOKUP(November[[#This Row],[Drug Name2]],'Data Options'!$R$1:$S$100,2,FALSE), " ")</f>
        <v xml:space="preserve"> </v>
      </c>
      <c r="V97" s="32"/>
      <c r="W97" s="32"/>
      <c r="X97" s="53"/>
      <c r="Y97" s="21" t="str">
        <f>IFERROR(VLOOKUP(November[[#This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21" t="str">
        <f>IFERROR(VLOOKUP(November[[#This Row],[Drug Name4]],'Data Options'!$R$1:$S$100,2,FALSE), " ")</f>
        <v xml:space="preserve"> </v>
      </c>
      <c r="AI97" s="32"/>
      <c r="AJ97" s="32"/>
      <c r="AK97" s="53"/>
      <c r="AL97" s="21" t="str">
        <f>IFERROR(VLOOKUP(November[[#This Row],[Drug Name5]],'Data Options'!$R$1:$S$100,2,FALSE), " ")</f>
        <v xml:space="preserve"> </v>
      </c>
      <c r="AM97" s="32"/>
      <c r="AN97" s="32"/>
      <c r="AO97" s="53"/>
      <c r="AP97" s="21" t="str">
        <f>IFERROR(VLOOKUP(November[[#This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21" t="str">
        <f>IFERROR(VLOOKUP(November[[#This Row],[Drug Name7]],'Data Options'!$R$1:$S$100,2,FALSE), " ")</f>
        <v xml:space="preserve"> </v>
      </c>
      <c r="AZ97" s="32"/>
      <c r="BA97" s="32"/>
      <c r="BB97" s="53"/>
      <c r="BC97" s="21" t="str">
        <f>IFERROR(VLOOKUP(November[[#This Row],[Drug Name8]],'Data Options'!$R$1:$S$100,2,FALSE), " ")</f>
        <v xml:space="preserve"> </v>
      </c>
      <c r="BD97" s="32"/>
      <c r="BE97" s="32"/>
      <c r="BF97" s="53"/>
      <c r="BG97" s="21" t="str">
        <f>IFERROR(VLOOKUP(November[[#This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21" t="str">
        <f>IFERROR(VLOOKUP(November[[#This Row],[Drug Name]],'Data Options'!$R$1:$S$100,2,FALSE), " ")</f>
        <v xml:space="preserve"> </v>
      </c>
      <c r="R98" s="32"/>
      <c r="S98" s="32"/>
      <c r="T98" s="53"/>
      <c r="U98" s="21" t="str">
        <f>IFERROR(VLOOKUP(November[[#This Row],[Drug Name2]],'Data Options'!$R$1:$S$100,2,FALSE), " ")</f>
        <v xml:space="preserve"> </v>
      </c>
      <c r="V98" s="32"/>
      <c r="W98" s="32"/>
      <c r="X98" s="53"/>
      <c r="Y98" s="21" t="str">
        <f>IFERROR(VLOOKUP(November[[#This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21" t="str">
        <f>IFERROR(VLOOKUP(November[[#This Row],[Drug Name4]],'Data Options'!$R$1:$S$100,2,FALSE), " ")</f>
        <v xml:space="preserve"> </v>
      </c>
      <c r="AI98" s="32"/>
      <c r="AJ98" s="32"/>
      <c r="AK98" s="53"/>
      <c r="AL98" s="21" t="str">
        <f>IFERROR(VLOOKUP(November[[#This Row],[Drug Name5]],'Data Options'!$R$1:$S$100,2,FALSE), " ")</f>
        <v xml:space="preserve"> </v>
      </c>
      <c r="AM98" s="32"/>
      <c r="AN98" s="32"/>
      <c r="AO98" s="53"/>
      <c r="AP98" s="21" t="str">
        <f>IFERROR(VLOOKUP(November[[#This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21" t="str">
        <f>IFERROR(VLOOKUP(November[[#This Row],[Drug Name7]],'Data Options'!$R$1:$S$100,2,FALSE), " ")</f>
        <v xml:space="preserve"> </v>
      </c>
      <c r="AZ98" s="32"/>
      <c r="BA98" s="32"/>
      <c r="BB98" s="53"/>
      <c r="BC98" s="21" t="str">
        <f>IFERROR(VLOOKUP(November[[#This Row],[Drug Name8]],'Data Options'!$R$1:$S$100,2,FALSE), " ")</f>
        <v xml:space="preserve"> </v>
      </c>
      <c r="BD98" s="32"/>
      <c r="BE98" s="32"/>
      <c r="BF98" s="53"/>
      <c r="BG98" s="21" t="str">
        <f>IFERROR(VLOOKUP(November[[#This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21" t="str">
        <f>IFERROR(VLOOKUP(November[[#This Row],[Drug Name]],'Data Options'!$R$1:$S$100,2,FALSE), " ")</f>
        <v xml:space="preserve"> </v>
      </c>
      <c r="R99" s="32"/>
      <c r="S99" s="32"/>
      <c r="T99" s="53"/>
      <c r="U99" s="21" t="str">
        <f>IFERROR(VLOOKUP(November[[#This Row],[Drug Name2]],'Data Options'!$R$1:$S$100,2,FALSE), " ")</f>
        <v xml:space="preserve"> </v>
      </c>
      <c r="V99" s="32"/>
      <c r="W99" s="32"/>
      <c r="X99" s="53"/>
      <c r="Y99" s="21" t="str">
        <f>IFERROR(VLOOKUP(November[[#This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21" t="str">
        <f>IFERROR(VLOOKUP(November[[#This Row],[Drug Name4]],'Data Options'!$R$1:$S$100,2,FALSE), " ")</f>
        <v xml:space="preserve"> </v>
      </c>
      <c r="AI99" s="32"/>
      <c r="AJ99" s="32"/>
      <c r="AK99" s="53"/>
      <c r="AL99" s="21" t="str">
        <f>IFERROR(VLOOKUP(November[[#This Row],[Drug Name5]],'Data Options'!$R$1:$S$100,2,FALSE), " ")</f>
        <v xml:space="preserve"> </v>
      </c>
      <c r="AM99" s="32"/>
      <c r="AN99" s="32"/>
      <c r="AO99" s="53"/>
      <c r="AP99" s="21" t="str">
        <f>IFERROR(VLOOKUP(November[[#This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21" t="str">
        <f>IFERROR(VLOOKUP(November[[#This Row],[Drug Name7]],'Data Options'!$R$1:$S$100,2,FALSE), " ")</f>
        <v xml:space="preserve"> </v>
      </c>
      <c r="AZ99" s="32"/>
      <c r="BA99" s="32"/>
      <c r="BB99" s="53"/>
      <c r="BC99" s="21" t="str">
        <f>IFERROR(VLOOKUP(November[[#This Row],[Drug Name8]],'Data Options'!$R$1:$S$100,2,FALSE), " ")</f>
        <v xml:space="preserve"> </v>
      </c>
      <c r="BD99" s="32"/>
      <c r="BE99" s="32"/>
      <c r="BF99" s="53"/>
      <c r="BG99" s="21" t="str">
        <f>IFERROR(VLOOKUP(November[[#This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21" t="str">
        <f>IFERROR(VLOOKUP(November[[#This Row],[Drug Name]],'Data Options'!$R$1:$S$100,2,FALSE), " ")</f>
        <v xml:space="preserve"> </v>
      </c>
      <c r="R100" s="32"/>
      <c r="S100" s="32"/>
      <c r="T100" s="53"/>
      <c r="U100" s="21" t="str">
        <f>IFERROR(VLOOKUP(November[[#This Row],[Drug Name2]],'Data Options'!$R$1:$S$100,2,FALSE), " ")</f>
        <v xml:space="preserve"> </v>
      </c>
      <c r="V100" s="32"/>
      <c r="W100" s="32"/>
      <c r="X100" s="53"/>
      <c r="Y100" s="21" t="str">
        <f>IFERROR(VLOOKUP(November[[#This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21" t="str">
        <f>IFERROR(VLOOKUP(November[[#This Row],[Drug Name4]],'Data Options'!$R$1:$S$100,2,FALSE), " ")</f>
        <v xml:space="preserve"> </v>
      </c>
      <c r="AI100" s="32"/>
      <c r="AJ100" s="32"/>
      <c r="AK100" s="53"/>
      <c r="AL100" s="21" t="str">
        <f>IFERROR(VLOOKUP(November[[#This Row],[Drug Name5]],'Data Options'!$R$1:$S$100,2,FALSE), " ")</f>
        <v xml:space="preserve"> </v>
      </c>
      <c r="AM100" s="32"/>
      <c r="AN100" s="32"/>
      <c r="AO100" s="53"/>
      <c r="AP100" s="21" t="str">
        <f>IFERROR(VLOOKUP(November[[#This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21" t="str">
        <f>IFERROR(VLOOKUP(November[[#This Row],[Drug Name7]],'Data Options'!$R$1:$S$100,2,FALSE), " ")</f>
        <v xml:space="preserve"> </v>
      </c>
      <c r="AZ100" s="32"/>
      <c r="BA100" s="32"/>
      <c r="BB100" s="53"/>
      <c r="BC100" s="21" t="str">
        <f>IFERROR(VLOOKUP(November[[#This Row],[Drug Name8]],'Data Options'!$R$1:$S$100,2,FALSE), " ")</f>
        <v xml:space="preserve"> </v>
      </c>
      <c r="BD100" s="32"/>
      <c r="BE100" s="32"/>
      <c r="BF100" s="53"/>
      <c r="BG100" s="21" t="str">
        <f>IFERROR(VLOOKUP(November[[#This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21" t="str">
        <f>IFERROR(VLOOKUP(November[[#This Row],[Drug Name]],'Data Options'!$R$1:$S$100,2,FALSE), " ")</f>
        <v xml:space="preserve"> </v>
      </c>
      <c r="R101" s="32"/>
      <c r="S101" s="32"/>
      <c r="T101" s="53"/>
      <c r="U101" s="21" t="str">
        <f>IFERROR(VLOOKUP(November[[#This Row],[Drug Name2]],'Data Options'!$R$1:$S$100,2,FALSE), " ")</f>
        <v xml:space="preserve"> </v>
      </c>
      <c r="V101" s="32"/>
      <c r="W101" s="32"/>
      <c r="X101" s="53"/>
      <c r="Y101" s="21" t="str">
        <f>IFERROR(VLOOKUP(November[[#This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21" t="str">
        <f>IFERROR(VLOOKUP(November[[#This Row],[Drug Name4]],'Data Options'!$R$1:$S$100,2,FALSE), " ")</f>
        <v xml:space="preserve"> </v>
      </c>
      <c r="AI101" s="32"/>
      <c r="AJ101" s="32"/>
      <c r="AK101" s="53"/>
      <c r="AL101" s="21" t="str">
        <f>IFERROR(VLOOKUP(November[[#This Row],[Drug Name5]],'Data Options'!$R$1:$S$100,2,FALSE), " ")</f>
        <v xml:space="preserve"> </v>
      </c>
      <c r="AM101" s="32"/>
      <c r="AN101" s="32"/>
      <c r="AO101" s="53"/>
      <c r="AP101" s="21" t="str">
        <f>IFERROR(VLOOKUP(November[[#This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21" t="str">
        <f>IFERROR(VLOOKUP(November[[#This Row],[Drug Name7]],'Data Options'!$R$1:$S$100,2,FALSE), " ")</f>
        <v xml:space="preserve"> </v>
      </c>
      <c r="AZ101" s="32"/>
      <c r="BA101" s="32"/>
      <c r="BB101" s="53"/>
      <c r="BC101" s="21" t="str">
        <f>IFERROR(VLOOKUP(November[[#This Row],[Drug Name8]],'Data Options'!$R$1:$S$100,2,FALSE), " ")</f>
        <v xml:space="preserve"> </v>
      </c>
      <c r="BD101" s="32"/>
      <c r="BE101" s="32"/>
      <c r="BF101" s="53"/>
      <c r="BG101" s="21" t="str">
        <f>IFERROR(VLOOKUP(November[[#This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21" t="str">
        <f>IFERROR(VLOOKUP(November[[#This Row],[Drug Name]],'Data Options'!$R$1:$S$100,2,FALSE), " ")</f>
        <v xml:space="preserve"> </v>
      </c>
      <c r="R102" s="32"/>
      <c r="S102" s="32"/>
      <c r="T102" s="53"/>
      <c r="U102" s="21" t="str">
        <f>IFERROR(VLOOKUP(November[[#This Row],[Drug Name2]],'Data Options'!$R$1:$S$100,2,FALSE), " ")</f>
        <v xml:space="preserve"> </v>
      </c>
      <c r="V102" s="32"/>
      <c r="W102" s="32"/>
      <c r="X102" s="53"/>
      <c r="Y102" s="21" t="str">
        <f>IFERROR(VLOOKUP(November[[#This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21" t="str">
        <f>IFERROR(VLOOKUP(November[[#This Row],[Drug Name4]],'Data Options'!$R$1:$S$100,2,FALSE), " ")</f>
        <v xml:space="preserve"> </v>
      </c>
      <c r="AI102" s="32"/>
      <c r="AJ102" s="32"/>
      <c r="AK102" s="53"/>
      <c r="AL102" s="21" t="str">
        <f>IFERROR(VLOOKUP(November[[#This Row],[Drug Name5]],'Data Options'!$R$1:$S$100,2,FALSE), " ")</f>
        <v xml:space="preserve"> </v>
      </c>
      <c r="AM102" s="32"/>
      <c r="AN102" s="32"/>
      <c r="AO102" s="53"/>
      <c r="AP102" s="21" t="str">
        <f>IFERROR(VLOOKUP(November[[#This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21" t="str">
        <f>IFERROR(VLOOKUP(November[[#This Row],[Drug Name7]],'Data Options'!$R$1:$S$100,2,FALSE), " ")</f>
        <v xml:space="preserve"> </v>
      </c>
      <c r="AZ102" s="32"/>
      <c r="BA102" s="32"/>
      <c r="BB102" s="53"/>
      <c r="BC102" s="21" t="str">
        <f>IFERROR(VLOOKUP(November[[#This Row],[Drug Name8]],'Data Options'!$R$1:$S$100,2,FALSE), " ")</f>
        <v xml:space="preserve"> </v>
      </c>
      <c r="BD102" s="32"/>
      <c r="BE102" s="32"/>
      <c r="BF102" s="53"/>
      <c r="BG102" s="21" t="str">
        <f>IFERROR(VLOOKUP(November[[#This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21" t="str">
        <f>IFERROR(VLOOKUP(November[[#This Row],[Drug Name]],'Data Options'!$R$1:$S$100,2,FALSE), " ")</f>
        <v xml:space="preserve"> </v>
      </c>
      <c r="R103" s="32"/>
      <c r="S103" s="32"/>
      <c r="T103" s="53"/>
      <c r="U103" s="21" t="str">
        <f>IFERROR(VLOOKUP(November[[#This Row],[Drug Name2]],'Data Options'!$R$1:$S$100,2,FALSE), " ")</f>
        <v xml:space="preserve"> </v>
      </c>
      <c r="V103" s="32"/>
      <c r="W103" s="32"/>
      <c r="X103" s="53"/>
      <c r="Y103" s="21" t="str">
        <f>IFERROR(VLOOKUP(November[[#This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21" t="str">
        <f>IFERROR(VLOOKUP(November[[#This Row],[Drug Name4]],'Data Options'!$R$1:$S$100,2,FALSE), " ")</f>
        <v xml:space="preserve"> </v>
      </c>
      <c r="AI103" s="32"/>
      <c r="AJ103" s="32"/>
      <c r="AK103" s="53"/>
      <c r="AL103" s="21" t="str">
        <f>IFERROR(VLOOKUP(November[[#This Row],[Drug Name5]],'Data Options'!$R$1:$S$100,2,FALSE), " ")</f>
        <v xml:space="preserve"> </v>
      </c>
      <c r="AM103" s="32"/>
      <c r="AN103" s="32"/>
      <c r="AO103" s="53"/>
      <c r="AP103" s="21" t="str">
        <f>IFERROR(VLOOKUP(November[[#This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21" t="str">
        <f>IFERROR(VLOOKUP(November[[#This Row],[Drug Name7]],'Data Options'!$R$1:$S$100,2,FALSE), " ")</f>
        <v xml:space="preserve"> </v>
      </c>
      <c r="AZ103" s="32"/>
      <c r="BA103" s="32"/>
      <c r="BB103" s="53"/>
      <c r="BC103" s="21" t="str">
        <f>IFERROR(VLOOKUP(November[[#This Row],[Drug Name8]],'Data Options'!$R$1:$S$100,2,FALSE), " ")</f>
        <v xml:space="preserve"> </v>
      </c>
      <c r="BD103" s="32"/>
      <c r="BE103" s="32"/>
      <c r="BF103" s="53"/>
      <c r="BG103" s="21" t="str">
        <f>IFERROR(VLOOKUP(November[[#This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21" t="str">
        <f>IFERROR(VLOOKUP(November[[#This Row],[Drug Name]],'Data Options'!$R$1:$S$100,2,FALSE), " ")</f>
        <v xml:space="preserve"> </v>
      </c>
      <c r="R104" s="32"/>
      <c r="S104" s="32"/>
      <c r="T104" s="53"/>
      <c r="U104" s="21" t="str">
        <f>IFERROR(VLOOKUP(November[[#This Row],[Drug Name2]],'Data Options'!$R$1:$S$100,2,FALSE), " ")</f>
        <v xml:space="preserve"> </v>
      </c>
      <c r="V104" s="32"/>
      <c r="W104" s="32"/>
      <c r="X104" s="53"/>
      <c r="Y104" s="21" t="str">
        <f>IFERROR(VLOOKUP(November[[#This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21" t="str">
        <f>IFERROR(VLOOKUP(November[[#This Row],[Drug Name4]],'Data Options'!$R$1:$S$100,2,FALSE), " ")</f>
        <v xml:space="preserve"> </v>
      </c>
      <c r="AI104" s="32"/>
      <c r="AJ104" s="32"/>
      <c r="AK104" s="53"/>
      <c r="AL104" s="21" t="str">
        <f>IFERROR(VLOOKUP(November[[#This Row],[Drug Name5]],'Data Options'!$R$1:$S$100,2,FALSE), " ")</f>
        <v xml:space="preserve"> </v>
      </c>
      <c r="AM104" s="32"/>
      <c r="AN104" s="32"/>
      <c r="AO104" s="53"/>
      <c r="AP104" s="21" t="str">
        <f>IFERROR(VLOOKUP(November[[#This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21" t="str">
        <f>IFERROR(VLOOKUP(November[[#This Row],[Drug Name7]],'Data Options'!$R$1:$S$100,2,FALSE), " ")</f>
        <v xml:space="preserve"> </v>
      </c>
      <c r="AZ104" s="32"/>
      <c r="BA104" s="32"/>
      <c r="BB104" s="53"/>
      <c r="BC104" s="21" t="str">
        <f>IFERROR(VLOOKUP(November[[#This Row],[Drug Name8]],'Data Options'!$R$1:$S$100,2,FALSE), " ")</f>
        <v xml:space="preserve"> </v>
      </c>
      <c r="BD104" s="32"/>
      <c r="BE104" s="32"/>
      <c r="BF104" s="53"/>
      <c r="BG104" s="21" t="str">
        <f>IFERROR(VLOOKUP(November[[#This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21" t="str">
        <f>IFERROR(VLOOKUP(November[[#This Row],[Drug Name]],'Data Options'!$R$1:$S$100,2,FALSE), " ")</f>
        <v xml:space="preserve"> </v>
      </c>
      <c r="R105" s="32"/>
      <c r="S105" s="32"/>
      <c r="T105" s="53"/>
      <c r="U105" s="21" t="str">
        <f>IFERROR(VLOOKUP(November[[#This Row],[Drug Name2]],'Data Options'!$R$1:$S$100,2,FALSE), " ")</f>
        <v xml:space="preserve"> </v>
      </c>
      <c r="V105" s="32"/>
      <c r="W105" s="32"/>
      <c r="X105" s="53"/>
      <c r="Y105" s="21" t="str">
        <f>IFERROR(VLOOKUP(November[[#This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21" t="str">
        <f>IFERROR(VLOOKUP(November[[#This Row],[Drug Name4]],'Data Options'!$R$1:$S$100,2,FALSE), " ")</f>
        <v xml:space="preserve"> </v>
      </c>
      <c r="AI105" s="32"/>
      <c r="AJ105" s="32"/>
      <c r="AK105" s="53"/>
      <c r="AL105" s="21" t="str">
        <f>IFERROR(VLOOKUP(November[[#This Row],[Drug Name5]],'Data Options'!$R$1:$S$100,2,FALSE), " ")</f>
        <v xml:space="preserve"> </v>
      </c>
      <c r="AM105" s="32"/>
      <c r="AN105" s="32"/>
      <c r="AO105" s="53"/>
      <c r="AP105" s="21" t="str">
        <f>IFERROR(VLOOKUP(November[[#This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21" t="str">
        <f>IFERROR(VLOOKUP(November[[#This Row],[Drug Name7]],'Data Options'!$R$1:$S$100,2,FALSE), " ")</f>
        <v xml:space="preserve"> </v>
      </c>
      <c r="AZ105" s="32"/>
      <c r="BA105" s="32"/>
      <c r="BB105" s="53"/>
      <c r="BC105" s="21" t="str">
        <f>IFERROR(VLOOKUP(November[[#This Row],[Drug Name8]],'Data Options'!$R$1:$S$100,2,FALSE), " ")</f>
        <v xml:space="preserve"> </v>
      </c>
      <c r="BD105" s="32"/>
      <c r="BE105" s="32"/>
      <c r="BF105" s="53"/>
      <c r="BG105" s="21" t="str">
        <f>IFERROR(VLOOKUP(November[[#This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21" t="str">
        <f>IFERROR(VLOOKUP(November[[#This Row],[Drug Name]],'Data Options'!$R$1:$S$100,2,FALSE), " ")</f>
        <v xml:space="preserve"> </v>
      </c>
      <c r="R106" s="32"/>
      <c r="S106" s="32"/>
      <c r="T106" s="53"/>
      <c r="U106" s="21" t="str">
        <f>IFERROR(VLOOKUP(November[[#This Row],[Drug Name2]],'Data Options'!$R$1:$S$100,2,FALSE), " ")</f>
        <v xml:space="preserve"> </v>
      </c>
      <c r="V106" s="32"/>
      <c r="W106" s="32"/>
      <c r="X106" s="53"/>
      <c r="Y106" s="21" t="str">
        <f>IFERROR(VLOOKUP(November[[#This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21" t="str">
        <f>IFERROR(VLOOKUP(November[[#This Row],[Drug Name4]],'Data Options'!$R$1:$S$100,2,FALSE), " ")</f>
        <v xml:space="preserve"> </v>
      </c>
      <c r="AI106" s="32"/>
      <c r="AJ106" s="32"/>
      <c r="AK106" s="53"/>
      <c r="AL106" s="21" t="str">
        <f>IFERROR(VLOOKUP(November[[#This Row],[Drug Name5]],'Data Options'!$R$1:$S$100,2,FALSE), " ")</f>
        <v xml:space="preserve"> </v>
      </c>
      <c r="AM106" s="32"/>
      <c r="AN106" s="32"/>
      <c r="AO106" s="53"/>
      <c r="AP106" s="21" t="str">
        <f>IFERROR(VLOOKUP(November[[#This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21" t="str">
        <f>IFERROR(VLOOKUP(November[[#This Row],[Drug Name7]],'Data Options'!$R$1:$S$100,2,FALSE), " ")</f>
        <v xml:space="preserve"> </v>
      </c>
      <c r="AZ106" s="32"/>
      <c r="BA106" s="32"/>
      <c r="BB106" s="53"/>
      <c r="BC106" s="21" t="str">
        <f>IFERROR(VLOOKUP(November[[#This Row],[Drug Name8]],'Data Options'!$R$1:$S$100,2,FALSE), " ")</f>
        <v xml:space="preserve"> </v>
      </c>
      <c r="BD106" s="32"/>
      <c r="BE106" s="32"/>
      <c r="BF106" s="53"/>
      <c r="BG106" s="21" t="str">
        <f>IFERROR(VLOOKUP(November[[#This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21" t="str">
        <f>IFERROR(VLOOKUP(November[[#This Row],[Drug Name]],'Data Options'!$R$1:$S$100,2,FALSE), " ")</f>
        <v xml:space="preserve"> </v>
      </c>
      <c r="R107" s="32"/>
      <c r="S107" s="32"/>
      <c r="T107" s="53"/>
      <c r="U107" s="21" t="str">
        <f>IFERROR(VLOOKUP(November[[#This Row],[Drug Name2]],'Data Options'!$R$1:$S$100,2,FALSE), " ")</f>
        <v xml:space="preserve"> </v>
      </c>
      <c r="V107" s="32"/>
      <c r="W107" s="32"/>
      <c r="X107" s="53"/>
      <c r="Y107" s="21" t="str">
        <f>IFERROR(VLOOKUP(November[[#This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21" t="str">
        <f>IFERROR(VLOOKUP(November[[#This Row],[Drug Name4]],'Data Options'!$R$1:$S$100,2,FALSE), " ")</f>
        <v xml:space="preserve"> </v>
      </c>
      <c r="AI107" s="32"/>
      <c r="AJ107" s="32"/>
      <c r="AK107" s="53"/>
      <c r="AL107" s="21" t="str">
        <f>IFERROR(VLOOKUP(November[[#This Row],[Drug Name5]],'Data Options'!$R$1:$S$100,2,FALSE), " ")</f>
        <v xml:space="preserve"> </v>
      </c>
      <c r="AM107" s="32"/>
      <c r="AN107" s="32"/>
      <c r="AO107" s="53"/>
      <c r="AP107" s="21" t="str">
        <f>IFERROR(VLOOKUP(November[[#This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21" t="str">
        <f>IFERROR(VLOOKUP(November[[#This Row],[Drug Name7]],'Data Options'!$R$1:$S$100,2,FALSE), " ")</f>
        <v xml:space="preserve"> </v>
      </c>
      <c r="AZ107" s="32"/>
      <c r="BA107" s="32"/>
      <c r="BB107" s="53"/>
      <c r="BC107" s="21" t="str">
        <f>IFERROR(VLOOKUP(November[[#This Row],[Drug Name8]],'Data Options'!$R$1:$S$100,2,FALSE), " ")</f>
        <v xml:space="preserve"> </v>
      </c>
      <c r="BD107" s="32"/>
      <c r="BE107" s="32"/>
      <c r="BF107" s="53"/>
      <c r="BG107" s="21" t="str">
        <f>IFERROR(VLOOKUP(November[[#This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21" t="str">
        <f>IFERROR(VLOOKUP(November[[#This Row],[Drug Name]],'Data Options'!$R$1:$S$100,2,FALSE), " ")</f>
        <v xml:space="preserve"> </v>
      </c>
      <c r="R108" s="32"/>
      <c r="S108" s="32"/>
      <c r="T108" s="53"/>
      <c r="U108" s="21" t="str">
        <f>IFERROR(VLOOKUP(November[[#This Row],[Drug Name2]],'Data Options'!$R$1:$S$100,2,FALSE), " ")</f>
        <v xml:space="preserve"> </v>
      </c>
      <c r="V108" s="32"/>
      <c r="W108" s="32"/>
      <c r="X108" s="53"/>
      <c r="Y108" s="21" t="str">
        <f>IFERROR(VLOOKUP(November[[#This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21" t="str">
        <f>IFERROR(VLOOKUP(November[[#This Row],[Drug Name4]],'Data Options'!$R$1:$S$100,2,FALSE), " ")</f>
        <v xml:space="preserve"> </v>
      </c>
      <c r="AI108" s="32"/>
      <c r="AJ108" s="32"/>
      <c r="AK108" s="53"/>
      <c r="AL108" s="21" t="str">
        <f>IFERROR(VLOOKUP(November[[#This Row],[Drug Name5]],'Data Options'!$R$1:$S$100,2,FALSE), " ")</f>
        <v xml:space="preserve"> </v>
      </c>
      <c r="AM108" s="32"/>
      <c r="AN108" s="32"/>
      <c r="AO108" s="53"/>
      <c r="AP108" s="21" t="str">
        <f>IFERROR(VLOOKUP(November[[#This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21" t="str">
        <f>IFERROR(VLOOKUP(November[[#This Row],[Drug Name7]],'Data Options'!$R$1:$S$100,2,FALSE), " ")</f>
        <v xml:space="preserve"> </v>
      </c>
      <c r="AZ108" s="32"/>
      <c r="BA108" s="32"/>
      <c r="BB108" s="53"/>
      <c r="BC108" s="21" t="str">
        <f>IFERROR(VLOOKUP(November[[#This Row],[Drug Name8]],'Data Options'!$R$1:$S$100,2,FALSE), " ")</f>
        <v xml:space="preserve"> </v>
      </c>
      <c r="BD108" s="32"/>
      <c r="BE108" s="32"/>
      <c r="BF108" s="53"/>
      <c r="BG108" s="21" t="str">
        <f>IFERROR(VLOOKUP(November[[#This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21" t="str">
        <f>IFERROR(VLOOKUP(November[[#This Row],[Drug Name]],'Data Options'!$R$1:$S$100,2,FALSE), " ")</f>
        <v xml:space="preserve"> </v>
      </c>
      <c r="R109" s="32"/>
      <c r="S109" s="32"/>
      <c r="T109" s="53"/>
      <c r="U109" s="21" t="str">
        <f>IFERROR(VLOOKUP(November[[#This Row],[Drug Name2]],'Data Options'!$R$1:$S$100,2,FALSE), " ")</f>
        <v xml:space="preserve"> </v>
      </c>
      <c r="V109" s="32"/>
      <c r="W109" s="32"/>
      <c r="X109" s="53"/>
      <c r="Y109" s="21" t="str">
        <f>IFERROR(VLOOKUP(November[[#This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21" t="str">
        <f>IFERROR(VLOOKUP(November[[#This Row],[Drug Name4]],'Data Options'!$R$1:$S$100,2,FALSE), " ")</f>
        <v xml:space="preserve"> </v>
      </c>
      <c r="AI109" s="32"/>
      <c r="AJ109" s="32"/>
      <c r="AK109" s="53"/>
      <c r="AL109" s="21" t="str">
        <f>IFERROR(VLOOKUP(November[[#This Row],[Drug Name5]],'Data Options'!$R$1:$S$100,2,FALSE), " ")</f>
        <v xml:space="preserve"> </v>
      </c>
      <c r="AM109" s="32"/>
      <c r="AN109" s="32"/>
      <c r="AO109" s="53"/>
      <c r="AP109" s="21" t="str">
        <f>IFERROR(VLOOKUP(November[[#This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21" t="str">
        <f>IFERROR(VLOOKUP(November[[#This Row],[Drug Name7]],'Data Options'!$R$1:$S$100,2,FALSE), " ")</f>
        <v xml:space="preserve"> </v>
      </c>
      <c r="AZ109" s="32"/>
      <c r="BA109" s="32"/>
      <c r="BB109" s="53"/>
      <c r="BC109" s="21" t="str">
        <f>IFERROR(VLOOKUP(November[[#This Row],[Drug Name8]],'Data Options'!$R$1:$S$100,2,FALSE), " ")</f>
        <v xml:space="preserve"> </v>
      </c>
      <c r="BD109" s="32"/>
      <c r="BE109" s="32"/>
      <c r="BF109" s="53"/>
      <c r="BG109" s="21" t="str">
        <f>IFERROR(VLOOKUP(November[[#This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21" t="str">
        <f>IFERROR(VLOOKUP(November[[#This Row],[Drug Name]],'Data Options'!$R$1:$S$100,2,FALSE), " ")</f>
        <v xml:space="preserve"> </v>
      </c>
      <c r="R110" s="32"/>
      <c r="S110" s="32"/>
      <c r="T110" s="53"/>
      <c r="U110" s="21" t="str">
        <f>IFERROR(VLOOKUP(November[[#This Row],[Drug Name2]],'Data Options'!$R$1:$S$100,2,FALSE), " ")</f>
        <v xml:space="preserve"> </v>
      </c>
      <c r="V110" s="32"/>
      <c r="W110" s="32"/>
      <c r="X110" s="53"/>
      <c r="Y110" s="21" t="str">
        <f>IFERROR(VLOOKUP(November[[#This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21" t="str">
        <f>IFERROR(VLOOKUP(November[[#This Row],[Drug Name4]],'Data Options'!$R$1:$S$100,2,FALSE), " ")</f>
        <v xml:space="preserve"> </v>
      </c>
      <c r="AI110" s="32"/>
      <c r="AJ110" s="32"/>
      <c r="AK110" s="53"/>
      <c r="AL110" s="21" t="str">
        <f>IFERROR(VLOOKUP(November[[#This Row],[Drug Name5]],'Data Options'!$R$1:$S$100,2,FALSE), " ")</f>
        <v xml:space="preserve"> </v>
      </c>
      <c r="AM110" s="32"/>
      <c r="AN110" s="32"/>
      <c r="AO110" s="53"/>
      <c r="AP110" s="21" t="str">
        <f>IFERROR(VLOOKUP(November[[#This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21" t="str">
        <f>IFERROR(VLOOKUP(November[[#This Row],[Drug Name7]],'Data Options'!$R$1:$S$100,2,FALSE), " ")</f>
        <v xml:space="preserve"> </v>
      </c>
      <c r="AZ110" s="32"/>
      <c r="BA110" s="32"/>
      <c r="BB110" s="53"/>
      <c r="BC110" s="21" t="str">
        <f>IFERROR(VLOOKUP(November[[#This Row],[Drug Name8]],'Data Options'!$R$1:$S$100,2,FALSE), " ")</f>
        <v xml:space="preserve"> </v>
      </c>
      <c r="BD110" s="32"/>
      <c r="BE110" s="32"/>
      <c r="BF110" s="53"/>
      <c r="BG110" s="21" t="str">
        <f>IFERROR(VLOOKUP(November[[#This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21" t="str">
        <f>IFERROR(VLOOKUP(November[[#This Row],[Drug Name]],'Data Options'!$R$1:$S$100,2,FALSE), " ")</f>
        <v xml:space="preserve"> </v>
      </c>
      <c r="R111" s="32"/>
      <c r="S111" s="32"/>
      <c r="T111" s="53"/>
      <c r="U111" s="21" t="str">
        <f>IFERROR(VLOOKUP(November[[#This Row],[Drug Name2]],'Data Options'!$R$1:$S$100,2,FALSE), " ")</f>
        <v xml:space="preserve"> </v>
      </c>
      <c r="V111" s="32"/>
      <c r="W111" s="32"/>
      <c r="X111" s="53"/>
      <c r="Y111" s="21" t="str">
        <f>IFERROR(VLOOKUP(November[[#This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21" t="str">
        <f>IFERROR(VLOOKUP(November[[#This Row],[Drug Name4]],'Data Options'!$R$1:$S$100,2,FALSE), " ")</f>
        <v xml:space="preserve"> </v>
      </c>
      <c r="AI111" s="32"/>
      <c r="AJ111" s="32"/>
      <c r="AK111" s="53"/>
      <c r="AL111" s="21" t="str">
        <f>IFERROR(VLOOKUP(November[[#This Row],[Drug Name5]],'Data Options'!$R$1:$S$100,2,FALSE), " ")</f>
        <v xml:space="preserve"> </v>
      </c>
      <c r="AM111" s="32"/>
      <c r="AN111" s="32"/>
      <c r="AO111" s="53"/>
      <c r="AP111" s="21" t="str">
        <f>IFERROR(VLOOKUP(November[[#This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21" t="str">
        <f>IFERROR(VLOOKUP(November[[#This Row],[Drug Name7]],'Data Options'!$R$1:$S$100,2,FALSE), " ")</f>
        <v xml:space="preserve"> </v>
      </c>
      <c r="AZ111" s="32"/>
      <c r="BA111" s="32"/>
      <c r="BB111" s="53"/>
      <c r="BC111" s="21" t="str">
        <f>IFERROR(VLOOKUP(November[[#This Row],[Drug Name8]],'Data Options'!$R$1:$S$100,2,FALSE), " ")</f>
        <v xml:space="preserve"> </v>
      </c>
      <c r="BD111" s="32"/>
      <c r="BE111" s="32"/>
      <c r="BF111" s="53"/>
      <c r="BG111" s="21" t="str">
        <f>IFERROR(VLOOKUP(November[[#This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21" t="str">
        <f>IFERROR(VLOOKUP(November[[#This Row],[Drug Name]],'Data Options'!$R$1:$S$100,2,FALSE), " ")</f>
        <v xml:space="preserve"> </v>
      </c>
      <c r="R112" s="32"/>
      <c r="S112" s="32"/>
      <c r="T112" s="53"/>
      <c r="U112" s="21" t="str">
        <f>IFERROR(VLOOKUP(November[[#This Row],[Drug Name2]],'Data Options'!$R$1:$S$100,2,FALSE), " ")</f>
        <v xml:space="preserve"> </v>
      </c>
      <c r="V112" s="32"/>
      <c r="W112" s="32"/>
      <c r="X112" s="53"/>
      <c r="Y112" s="21" t="str">
        <f>IFERROR(VLOOKUP(November[[#This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21" t="str">
        <f>IFERROR(VLOOKUP(November[[#This Row],[Drug Name4]],'Data Options'!$R$1:$S$100,2,FALSE), " ")</f>
        <v xml:space="preserve"> </v>
      </c>
      <c r="AI112" s="32"/>
      <c r="AJ112" s="32"/>
      <c r="AK112" s="53"/>
      <c r="AL112" s="21" t="str">
        <f>IFERROR(VLOOKUP(November[[#This Row],[Drug Name5]],'Data Options'!$R$1:$S$100,2,FALSE), " ")</f>
        <v xml:space="preserve"> </v>
      </c>
      <c r="AM112" s="32"/>
      <c r="AN112" s="32"/>
      <c r="AO112" s="53"/>
      <c r="AP112" s="21" t="str">
        <f>IFERROR(VLOOKUP(November[[#This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21" t="str">
        <f>IFERROR(VLOOKUP(November[[#This Row],[Drug Name7]],'Data Options'!$R$1:$S$100,2,FALSE), " ")</f>
        <v xml:space="preserve"> </v>
      </c>
      <c r="AZ112" s="32"/>
      <c r="BA112" s="32"/>
      <c r="BB112" s="53"/>
      <c r="BC112" s="21" t="str">
        <f>IFERROR(VLOOKUP(November[[#This Row],[Drug Name8]],'Data Options'!$R$1:$S$100,2,FALSE), " ")</f>
        <v xml:space="preserve"> </v>
      </c>
      <c r="BD112" s="32"/>
      <c r="BE112" s="32"/>
      <c r="BF112" s="53"/>
      <c r="BG112" s="21" t="str">
        <f>IFERROR(VLOOKUP(November[[#This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21" t="str">
        <f>IFERROR(VLOOKUP(November[[#This Row],[Drug Name]],'Data Options'!$R$1:$S$100,2,FALSE), " ")</f>
        <v xml:space="preserve"> </v>
      </c>
      <c r="R113" s="32"/>
      <c r="S113" s="32"/>
      <c r="T113" s="53"/>
      <c r="U113" s="21" t="str">
        <f>IFERROR(VLOOKUP(November[[#This Row],[Drug Name2]],'Data Options'!$R$1:$S$100,2,FALSE), " ")</f>
        <v xml:space="preserve"> </v>
      </c>
      <c r="V113" s="32"/>
      <c r="W113" s="32"/>
      <c r="X113" s="53"/>
      <c r="Y113" s="21" t="str">
        <f>IFERROR(VLOOKUP(November[[#This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21" t="str">
        <f>IFERROR(VLOOKUP(November[[#This Row],[Drug Name4]],'Data Options'!$R$1:$S$100,2,FALSE), " ")</f>
        <v xml:space="preserve"> </v>
      </c>
      <c r="AI113" s="32"/>
      <c r="AJ113" s="32"/>
      <c r="AK113" s="53"/>
      <c r="AL113" s="21" t="str">
        <f>IFERROR(VLOOKUP(November[[#This Row],[Drug Name5]],'Data Options'!$R$1:$S$100,2,FALSE), " ")</f>
        <v xml:space="preserve"> </v>
      </c>
      <c r="AM113" s="32"/>
      <c r="AN113" s="32"/>
      <c r="AO113" s="53"/>
      <c r="AP113" s="21" t="str">
        <f>IFERROR(VLOOKUP(November[[#This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21" t="str">
        <f>IFERROR(VLOOKUP(November[[#This Row],[Drug Name7]],'Data Options'!$R$1:$S$100,2,FALSE), " ")</f>
        <v xml:space="preserve"> </v>
      </c>
      <c r="AZ113" s="32"/>
      <c r="BA113" s="32"/>
      <c r="BB113" s="53"/>
      <c r="BC113" s="21" t="str">
        <f>IFERROR(VLOOKUP(November[[#This Row],[Drug Name8]],'Data Options'!$R$1:$S$100,2,FALSE), " ")</f>
        <v xml:space="preserve"> </v>
      </c>
      <c r="BD113" s="32"/>
      <c r="BE113" s="32"/>
      <c r="BF113" s="53"/>
      <c r="BG113" s="21" t="str">
        <f>IFERROR(VLOOKUP(November[[#This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21" t="str">
        <f>IFERROR(VLOOKUP(November[[#This Row],[Drug Name]],'Data Options'!$R$1:$S$100,2,FALSE), " ")</f>
        <v xml:space="preserve"> </v>
      </c>
      <c r="R114" s="32"/>
      <c r="S114" s="32"/>
      <c r="T114" s="53"/>
      <c r="U114" s="21" t="str">
        <f>IFERROR(VLOOKUP(November[[#This Row],[Drug Name2]],'Data Options'!$R$1:$S$100,2,FALSE), " ")</f>
        <v xml:space="preserve"> </v>
      </c>
      <c r="V114" s="32"/>
      <c r="W114" s="32"/>
      <c r="X114" s="53"/>
      <c r="Y114" s="21" t="str">
        <f>IFERROR(VLOOKUP(November[[#This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21" t="str">
        <f>IFERROR(VLOOKUP(November[[#This Row],[Drug Name4]],'Data Options'!$R$1:$S$100,2,FALSE), " ")</f>
        <v xml:space="preserve"> </v>
      </c>
      <c r="AI114" s="32"/>
      <c r="AJ114" s="32"/>
      <c r="AK114" s="53"/>
      <c r="AL114" s="21" t="str">
        <f>IFERROR(VLOOKUP(November[[#This Row],[Drug Name5]],'Data Options'!$R$1:$S$100,2,FALSE), " ")</f>
        <v xml:space="preserve"> </v>
      </c>
      <c r="AM114" s="32"/>
      <c r="AN114" s="32"/>
      <c r="AO114" s="53"/>
      <c r="AP114" s="21" t="str">
        <f>IFERROR(VLOOKUP(November[[#This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21" t="str">
        <f>IFERROR(VLOOKUP(November[[#This Row],[Drug Name7]],'Data Options'!$R$1:$S$100,2,FALSE), " ")</f>
        <v xml:space="preserve"> </v>
      </c>
      <c r="AZ114" s="32"/>
      <c r="BA114" s="32"/>
      <c r="BB114" s="53"/>
      <c r="BC114" s="21" t="str">
        <f>IFERROR(VLOOKUP(November[[#This Row],[Drug Name8]],'Data Options'!$R$1:$S$100,2,FALSE), " ")</f>
        <v xml:space="preserve"> </v>
      </c>
      <c r="BD114" s="32"/>
      <c r="BE114" s="32"/>
      <c r="BF114" s="53"/>
      <c r="BG114" s="21" t="str">
        <f>IFERROR(VLOOKUP(November[[#This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21" t="str">
        <f>IFERROR(VLOOKUP(November[[#This Row],[Drug Name]],'Data Options'!$R$1:$S$100,2,FALSE), " ")</f>
        <v xml:space="preserve"> </v>
      </c>
      <c r="R115" s="32"/>
      <c r="S115" s="32"/>
      <c r="T115" s="53"/>
      <c r="U115" s="21" t="str">
        <f>IFERROR(VLOOKUP(November[[#This Row],[Drug Name2]],'Data Options'!$R$1:$S$100,2,FALSE), " ")</f>
        <v xml:space="preserve"> </v>
      </c>
      <c r="V115" s="32"/>
      <c r="W115" s="32"/>
      <c r="X115" s="53"/>
      <c r="Y115" s="21" t="str">
        <f>IFERROR(VLOOKUP(November[[#This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21" t="str">
        <f>IFERROR(VLOOKUP(November[[#This Row],[Drug Name4]],'Data Options'!$R$1:$S$100,2,FALSE), " ")</f>
        <v xml:space="preserve"> </v>
      </c>
      <c r="AI115" s="32"/>
      <c r="AJ115" s="32"/>
      <c r="AK115" s="53"/>
      <c r="AL115" s="21" t="str">
        <f>IFERROR(VLOOKUP(November[[#This Row],[Drug Name5]],'Data Options'!$R$1:$S$100,2,FALSE), " ")</f>
        <v xml:space="preserve"> </v>
      </c>
      <c r="AM115" s="32"/>
      <c r="AN115" s="32"/>
      <c r="AO115" s="53"/>
      <c r="AP115" s="21" t="str">
        <f>IFERROR(VLOOKUP(November[[#This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21" t="str">
        <f>IFERROR(VLOOKUP(November[[#This Row],[Drug Name7]],'Data Options'!$R$1:$S$100,2,FALSE), " ")</f>
        <v xml:space="preserve"> </v>
      </c>
      <c r="AZ115" s="32"/>
      <c r="BA115" s="32"/>
      <c r="BB115" s="53"/>
      <c r="BC115" s="21" t="str">
        <f>IFERROR(VLOOKUP(November[[#This Row],[Drug Name8]],'Data Options'!$R$1:$S$100,2,FALSE), " ")</f>
        <v xml:space="preserve"> </v>
      </c>
      <c r="BD115" s="32"/>
      <c r="BE115" s="32"/>
      <c r="BF115" s="53"/>
      <c r="BG115" s="21" t="str">
        <f>IFERROR(VLOOKUP(November[[#This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21" t="str">
        <f>IFERROR(VLOOKUP(November[[#This Row],[Drug Name]],'Data Options'!$R$1:$S$100,2,FALSE), " ")</f>
        <v xml:space="preserve"> </v>
      </c>
      <c r="R116" s="32"/>
      <c r="S116" s="32"/>
      <c r="T116" s="53"/>
      <c r="U116" s="21" t="str">
        <f>IFERROR(VLOOKUP(November[[#This Row],[Drug Name2]],'Data Options'!$R$1:$S$100,2,FALSE), " ")</f>
        <v xml:space="preserve"> </v>
      </c>
      <c r="V116" s="32"/>
      <c r="W116" s="32"/>
      <c r="X116" s="53"/>
      <c r="Y116" s="21" t="str">
        <f>IFERROR(VLOOKUP(November[[#This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21" t="str">
        <f>IFERROR(VLOOKUP(November[[#This Row],[Drug Name4]],'Data Options'!$R$1:$S$100,2,FALSE), " ")</f>
        <v xml:space="preserve"> </v>
      </c>
      <c r="AI116" s="32"/>
      <c r="AJ116" s="32"/>
      <c r="AK116" s="53"/>
      <c r="AL116" s="21" t="str">
        <f>IFERROR(VLOOKUP(November[[#This Row],[Drug Name5]],'Data Options'!$R$1:$S$100,2,FALSE), " ")</f>
        <v xml:space="preserve"> </v>
      </c>
      <c r="AM116" s="32"/>
      <c r="AN116" s="32"/>
      <c r="AO116" s="53"/>
      <c r="AP116" s="21" t="str">
        <f>IFERROR(VLOOKUP(November[[#This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21" t="str">
        <f>IFERROR(VLOOKUP(November[[#This Row],[Drug Name7]],'Data Options'!$R$1:$S$100,2,FALSE), " ")</f>
        <v xml:space="preserve"> </v>
      </c>
      <c r="AZ116" s="32"/>
      <c r="BA116" s="32"/>
      <c r="BB116" s="53"/>
      <c r="BC116" s="21" t="str">
        <f>IFERROR(VLOOKUP(November[[#This Row],[Drug Name8]],'Data Options'!$R$1:$S$100,2,FALSE), " ")</f>
        <v xml:space="preserve"> </v>
      </c>
      <c r="BD116" s="32"/>
      <c r="BE116" s="32"/>
      <c r="BF116" s="53"/>
      <c r="BG116" s="21" t="str">
        <f>IFERROR(VLOOKUP(November[[#This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21" t="str">
        <f>IFERROR(VLOOKUP(November[[#This Row],[Drug Name]],'Data Options'!$R$1:$S$100,2,FALSE), " ")</f>
        <v xml:space="preserve"> </v>
      </c>
      <c r="R117" s="32"/>
      <c r="S117" s="32"/>
      <c r="T117" s="53"/>
      <c r="U117" s="21" t="str">
        <f>IFERROR(VLOOKUP(November[[#This Row],[Drug Name2]],'Data Options'!$R$1:$S$100,2,FALSE), " ")</f>
        <v xml:space="preserve"> </v>
      </c>
      <c r="V117" s="32"/>
      <c r="W117" s="32"/>
      <c r="X117" s="53"/>
      <c r="Y117" s="21" t="str">
        <f>IFERROR(VLOOKUP(November[[#This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21" t="str">
        <f>IFERROR(VLOOKUP(November[[#This Row],[Drug Name4]],'Data Options'!$R$1:$S$100,2,FALSE), " ")</f>
        <v xml:space="preserve"> </v>
      </c>
      <c r="AI117" s="32"/>
      <c r="AJ117" s="32"/>
      <c r="AK117" s="53"/>
      <c r="AL117" s="21" t="str">
        <f>IFERROR(VLOOKUP(November[[#This Row],[Drug Name5]],'Data Options'!$R$1:$S$100,2,FALSE), " ")</f>
        <v xml:space="preserve"> </v>
      </c>
      <c r="AM117" s="32"/>
      <c r="AN117" s="32"/>
      <c r="AO117" s="53"/>
      <c r="AP117" s="21" t="str">
        <f>IFERROR(VLOOKUP(November[[#This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21" t="str">
        <f>IFERROR(VLOOKUP(November[[#This Row],[Drug Name7]],'Data Options'!$R$1:$S$100,2,FALSE), " ")</f>
        <v xml:space="preserve"> </v>
      </c>
      <c r="AZ117" s="32"/>
      <c r="BA117" s="32"/>
      <c r="BB117" s="53"/>
      <c r="BC117" s="21" t="str">
        <f>IFERROR(VLOOKUP(November[[#This Row],[Drug Name8]],'Data Options'!$R$1:$S$100,2,FALSE), " ")</f>
        <v xml:space="preserve"> </v>
      </c>
      <c r="BD117" s="32"/>
      <c r="BE117" s="32"/>
      <c r="BF117" s="53"/>
      <c r="BG117" s="21" t="str">
        <f>IFERROR(VLOOKUP(November[[#This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21" t="str">
        <f>IFERROR(VLOOKUP(November[[#This Row],[Drug Name]],'Data Options'!$R$1:$S$100,2,FALSE), " ")</f>
        <v xml:space="preserve"> </v>
      </c>
      <c r="R118" s="32"/>
      <c r="S118" s="32"/>
      <c r="T118" s="53"/>
      <c r="U118" s="21" t="str">
        <f>IFERROR(VLOOKUP(November[[#This Row],[Drug Name2]],'Data Options'!$R$1:$S$100,2,FALSE), " ")</f>
        <v xml:space="preserve"> </v>
      </c>
      <c r="V118" s="32"/>
      <c r="W118" s="32"/>
      <c r="X118" s="53"/>
      <c r="Y118" s="21" t="str">
        <f>IFERROR(VLOOKUP(November[[#This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21" t="str">
        <f>IFERROR(VLOOKUP(November[[#This Row],[Drug Name4]],'Data Options'!$R$1:$S$100,2,FALSE), " ")</f>
        <v xml:space="preserve"> </v>
      </c>
      <c r="AI118" s="32"/>
      <c r="AJ118" s="32"/>
      <c r="AK118" s="53"/>
      <c r="AL118" s="21" t="str">
        <f>IFERROR(VLOOKUP(November[[#This Row],[Drug Name5]],'Data Options'!$R$1:$S$100,2,FALSE), " ")</f>
        <v xml:space="preserve"> </v>
      </c>
      <c r="AM118" s="32"/>
      <c r="AN118" s="32"/>
      <c r="AO118" s="53"/>
      <c r="AP118" s="21" t="str">
        <f>IFERROR(VLOOKUP(November[[#This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21" t="str">
        <f>IFERROR(VLOOKUP(November[[#This Row],[Drug Name7]],'Data Options'!$R$1:$S$100,2,FALSE), " ")</f>
        <v xml:space="preserve"> </v>
      </c>
      <c r="AZ118" s="32"/>
      <c r="BA118" s="32"/>
      <c r="BB118" s="53"/>
      <c r="BC118" s="21" t="str">
        <f>IFERROR(VLOOKUP(November[[#This Row],[Drug Name8]],'Data Options'!$R$1:$S$100,2,FALSE), " ")</f>
        <v xml:space="preserve"> </v>
      </c>
      <c r="BD118" s="32"/>
      <c r="BE118" s="32"/>
      <c r="BF118" s="53"/>
      <c r="BG118" s="21" t="str">
        <f>IFERROR(VLOOKUP(November[[#This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21" t="str">
        <f>IFERROR(VLOOKUP(November[[#This Row],[Drug Name]],'Data Options'!$R$1:$S$100,2,FALSE), " ")</f>
        <v xml:space="preserve"> </v>
      </c>
      <c r="R119" s="32"/>
      <c r="S119" s="32"/>
      <c r="T119" s="53"/>
      <c r="U119" s="21" t="str">
        <f>IFERROR(VLOOKUP(November[[#This Row],[Drug Name2]],'Data Options'!$R$1:$S$100,2,FALSE), " ")</f>
        <v xml:space="preserve"> </v>
      </c>
      <c r="V119" s="32"/>
      <c r="W119" s="32"/>
      <c r="X119" s="53"/>
      <c r="Y119" s="21" t="str">
        <f>IFERROR(VLOOKUP(November[[#This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21" t="str">
        <f>IFERROR(VLOOKUP(November[[#This Row],[Drug Name4]],'Data Options'!$R$1:$S$100,2,FALSE), " ")</f>
        <v xml:space="preserve"> </v>
      </c>
      <c r="AI119" s="32"/>
      <c r="AJ119" s="32"/>
      <c r="AK119" s="53"/>
      <c r="AL119" s="21" t="str">
        <f>IFERROR(VLOOKUP(November[[#This Row],[Drug Name5]],'Data Options'!$R$1:$S$100,2,FALSE), " ")</f>
        <v xml:space="preserve"> </v>
      </c>
      <c r="AM119" s="32"/>
      <c r="AN119" s="32"/>
      <c r="AO119" s="53"/>
      <c r="AP119" s="21" t="str">
        <f>IFERROR(VLOOKUP(November[[#This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21" t="str">
        <f>IFERROR(VLOOKUP(November[[#This Row],[Drug Name7]],'Data Options'!$R$1:$S$100,2,FALSE), " ")</f>
        <v xml:space="preserve"> </v>
      </c>
      <c r="AZ119" s="32"/>
      <c r="BA119" s="32"/>
      <c r="BB119" s="53"/>
      <c r="BC119" s="21" t="str">
        <f>IFERROR(VLOOKUP(November[[#This Row],[Drug Name8]],'Data Options'!$R$1:$S$100,2,FALSE), " ")</f>
        <v xml:space="preserve"> </v>
      </c>
      <c r="BD119" s="32"/>
      <c r="BE119" s="32"/>
      <c r="BF119" s="53"/>
      <c r="BG119" s="21" t="str">
        <f>IFERROR(VLOOKUP(November[[#This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21" t="str">
        <f>IFERROR(VLOOKUP(November[[#This Row],[Drug Name]],'Data Options'!$R$1:$S$100,2,FALSE), " ")</f>
        <v xml:space="preserve"> </v>
      </c>
      <c r="R120" s="32"/>
      <c r="S120" s="32"/>
      <c r="T120" s="53"/>
      <c r="U120" s="21" t="str">
        <f>IFERROR(VLOOKUP(November[[#This Row],[Drug Name2]],'Data Options'!$R$1:$S$100,2,FALSE), " ")</f>
        <v xml:space="preserve"> </v>
      </c>
      <c r="V120" s="32"/>
      <c r="W120" s="32"/>
      <c r="X120" s="53"/>
      <c r="Y120" s="21" t="str">
        <f>IFERROR(VLOOKUP(November[[#This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21" t="str">
        <f>IFERROR(VLOOKUP(November[[#This Row],[Drug Name4]],'Data Options'!$R$1:$S$100,2,FALSE), " ")</f>
        <v xml:space="preserve"> </v>
      </c>
      <c r="AI120" s="32"/>
      <c r="AJ120" s="32"/>
      <c r="AK120" s="53"/>
      <c r="AL120" s="21" t="str">
        <f>IFERROR(VLOOKUP(November[[#This Row],[Drug Name5]],'Data Options'!$R$1:$S$100,2,FALSE), " ")</f>
        <v xml:space="preserve"> </v>
      </c>
      <c r="AM120" s="32"/>
      <c r="AN120" s="32"/>
      <c r="AO120" s="53"/>
      <c r="AP120" s="21" t="str">
        <f>IFERROR(VLOOKUP(November[[#This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21" t="str">
        <f>IFERROR(VLOOKUP(November[[#This Row],[Drug Name7]],'Data Options'!$R$1:$S$100,2,FALSE), " ")</f>
        <v xml:space="preserve"> </v>
      </c>
      <c r="AZ120" s="32"/>
      <c r="BA120" s="32"/>
      <c r="BB120" s="53"/>
      <c r="BC120" s="21" t="str">
        <f>IFERROR(VLOOKUP(November[[#This Row],[Drug Name8]],'Data Options'!$R$1:$S$100,2,FALSE), " ")</f>
        <v xml:space="preserve"> </v>
      </c>
      <c r="BD120" s="32"/>
      <c r="BE120" s="32"/>
      <c r="BF120" s="53"/>
      <c r="BG120" s="21" t="str">
        <f>IFERROR(VLOOKUP(November[[#This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21" t="str">
        <f>IFERROR(VLOOKUP(November[[#This Row],[Drug Name]],'Data Options'!$R$1:$S$100,2,FALSE), " ")</f>
        <v xml:space="preserve"> </v>
      </c>
      <c r="R121" s="32"/>
      <c r="S121" s="32"/>
      <c r="T121" s="53"/>
      <c r="U121" s="21" t="str">
        <f>IFERROR(VLOOKUP(November[[#This Row],[Drug Name2]],'Data Options'!$R$1:$S$100,2,FALSE), " ")</f>
        <v xml:space="preserve"> </v>
      </c>
      <c r="V121" s="32"/>
      <c r="W121" s="32"/>
      <c r="X121" s="53"/>
      <c r="Y121" s="21" t="str">
        <f>IFERROR(VLOOKUP(November[[#This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21" t="str">
        <f>IFERROR(VLOOKUP(November[[#This Row],[Drug Name4]],'Data Options'!$R$1:$S$100,2,FALSE), " ")</f>
        <v xml:space="preserve"> </v>
      </c>
      <c r="AI121" s="32"/>
      <c r="AJ121" s="32"/>
      <c r="AK121" s="53"/>
      <c r="AL121" s="21" t="str">
        <f>IFERROR(VLOOKUP(November[[#This Row],[Drug Name5]],'Data Options'!$R$1:$S$100,2,FALSE), " ")</f>
        <v xml:space="preserve"> </v>
      </c>
      <c r="AM121" s="32"/>
      <c r="AN121" s="32"/>
      <c r="AO121" s="53"/>
      <c r="AP121" s="21" t="str">
        <f>IFERROR(VLOOKUP(November[[#This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21" t="str">
        <f>IFERROR(VLOOKUP(November[[#This Row],[Drug Name7]],'Data Options'!$R$1:$S$100,2,FALSE), " ")</f>
        <v xml:space="preserve"> </v>
      </c>
      <c r="AZ121" s="32"/>
      <c r="BA121" s="32"/>
      <c r="BB121" s="53"/>
      <c r="BC121" s="21" t="str">
        <f>IFERROR(VLOOKUP(November[[#This Row],[Drug Name8]],'Data Options'!$R$1:$S$100,2,FALSE), " ")</f>
        <v xml:space="preserve"> </v>
      </c>
      <c r="BD121" s="32"/>
      <c r="BE121" s="32"/>
      <c r="BF121" s="53"/>
      <c r="BG121" s="21" t="str">
        <f>IFERROR(VLOOKUP(November[[#This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21" t="str">
        <f>IFERROR(VLOOKUP(November[[#This Row],[Drug Name]],'Data Options'!$R$1:$S$100,2,FALSE), " ")</f>
        <v xml:space="preserve"> </v>
      </c>
      <c r="R122" s="32"/>
      <c r="S122" s="32"/>
      <c r="T122" s="53"/>
      <c r="U122" s="21" t="str">
        <f>IFERROR(VLOOKUP(November[[#This Row],[Drug Name2]],'Data Options'!$R$1:$S$100,2,FALSE), " ")</f>
        <v xml:space="preserve"> </v>
      </c>
      <c r="V122" s="32"/>
      <c r="W122" s="32"/>
      <c r="X122" s="53"/>
      <c r="Y122" s="21" t="str">
        <f>IFERROR(VLOOKUP(November[[#This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21" t="str">
        <f>IFERROR(VLOOKUP(November[[#This Row],[Drug Name4]],'Data Options'!$R$1:$S$100,2,FALSE), " ")</f>
        <v xml:space="preserve"> </v>
      </c>
      <c r="AI122" s="32"/>
      <c r="AJ122" s="32"/>
      <c r="AK122" s="53"/>
      <c r="AL122" s="21" t="str">
        <f>IFERROR(VLOOKUP(November[[#This Row],[Drug Name5]],'Data Options'!$R$1:$S$100,2,FALSE), " ")</f>
        <v xml:space="preserve"> </v>
      </c>
      <c r="AM122" s="32"/>
      <c r="AN122" s="32"/>
      <c r="AO122" s="53"/>
      <c r="AP122" s="21" t="str">
        <f>IFERROR(VLOOKUP(November[[#This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21" t="str">
        <f>IFERROR(VLOOKUP(November[[#This Row],[Drug Name7]],'Data Options'!$R$1:$S$100,2,FALSE), " ")</f>
        <v xml:space="preserve"> </v>
      </c>
      <c r="AZ122" s="32"/>
      <c r="BA122" s="32"/>
      <c r="BB122" s="53"/>
      <c r="BC122" s="21" t="str">
        <f>IFERROR(VLOOKUP(November[[#This Row],[Drug Name8]],'Data Options'!$R$1:$S$100,2,FALSE), " ")</f>
        <v xml:space="preserve"> </v>
      </c>
      <c r="BD122" s="32"/>
      <c r="BE122" s="32"/>
      <c r="BF122" s="53"/>
      <c r="BG122" s="21" t="str">
        <f>IFERROR(VLOOKUP(November[[#This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21" t="str">
        <f>IFERROR(VLOOKUP(November[[#This Row],[Drug Name]],'Data Options'!$R$1:$S$100,2,FALSE), " ")</f>
        <v xml:space="preserve"> </v>
      </c>
      <c r="R123" s="32"/>
      <c r="S123" s="32"/>
      <c r="T123" s="53"/>
      <c r="U123" s="21" t="str">
        <f>IFERROR(VLOOKUP(November[[#This Row],[Drug Name2]],'Data Options'!$R$1:$S$100,2,FALSE), " ")</f>
        <v xml:space="preserve"> </v>
      </c>
      <c r="V123" s="32"/>
      <c r="W123" s="32"/>
      <c r="X123" s="53"/>
      <c r="Y123" s="21" t="str">
        <f>IFERROR(VLOOKUP(November[[#This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21" t="str">
        <f>IFERROR(VLOOKUP(November[[#This Row],[Drug Name4]],'Data Options'!$R$1:$S$100,2,FALSE), " ")</f>
        <v xml:space="preserve"> </v>
      </c>
      <c r="AI123" s="32"/>
      <c r="AJ123" s="32"/>
      <c r="AK123" s="53"/>
      <c r="AL123" s="21" t="str">
        <f>IFERROR(VLOOKUP(November[[#This Row],[Drug Name5]],'Data Options'!$R$1:$S$100,2,FALSE), " ")</f>
        <v xml:space="preserve"> </v>
      </c>
      <c r="AM123" s="32"/>
      <c r="AN123" s="32"/>
      <c r="AO123" s="53"/>
      <c r="AP123" s="21" t="str">
        <f>IFERROR(VLOOKUP(November[[#This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21" t="str">
        <f>IFERROR(VLOOKUP(November[[#This Row],[Drug Name7]],'Data Options'!$R$1:$S$100,2,FALSE), " ")</f>
        <v xml:space="preserve"> </v>
      </c>
      <c r="AZ123" s="32"/>
      <c r="BA123" s="32"/>
      <c r="BB123" s="53"/>
      <c r="BC123" s="21" t="str">
        <f>IFERROR(VLOOKUP(November[[#This Row],[Drug Name8]],'Data Options'!$R$1:$S$100,2,FALSE), " ")</f>
        <v xml:space="preserve"> </v>
      </c>
      <c r="BD123" s="32"/>
      <c r="BE123" s="32"/>
      <c r="BF123" s="53"/>
      <c r="BG123" s="21" t="str">
        <f>IFERROR(VLOOKUP(November[[#This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21" t="str">
        <f>IFERROR(VLOOKUP(November[[#This Row],[Drug Name]],'Data Options'!$R$1:$S$100,2,FALSE), " ")</f>
        <v xml:space="preserve"> </v>
      </c>
      <c r="R124" s="32"/>
      <c r="S124" s="32"/>
      <c r="T124" s="53"/>
      <c r="U124" s="21" t="str">
        <f>IFERROR(VLOOKUP(November[[#This Row],[Drug Name2]],'Data Options'!$R$1:$S$100,2,FALSE), " ")</f>
        <v xml:space="preserve"> </v>
      </c>
      <c r="V124" s="32"/>
      <c r="W124" s="32"/>
      <c r="X124" s="53"/>
      <c r="Y124" s="21" t="str">
        <f>IFERROR(VLOOKUP(November[[#This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21" t="str">
        <f>IFERROR(VLOOKUP(November[[#This Row],[Drug Name4]],'Data Options'!$R$1:$S$100,2,FALSE), " ")</f>
        <v xml:space="preserve"> </v>
      </c>
      <c r="AI124" s="32"/>
      <c r="AJ124" s="32"/>
      <c r="AK124" s="53"/>
      <c r="AL124" s="21" t="str">
        <f>IFERROR(VLOOKUP(November[[#This Row],[Drug Name5]],'Data Options'!$R$1:$S$100,2,FALSE), " ")</f>
        <v xml:space="preserve"> </v>
      </c>
      <c r="AM124" s="32"/>
      <c r="AN124" s="32"/>
      <c r="AO124" s="53"/>
      <c r="AP124" s="21" t="str">
        <f>IFERROR(VLOOKUP(November[[#This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21" t="str">
        <f>IFERROR(VLOOKUP(November[[#This Row],[Drug Name7]],'Data Options'!$R$1:$S$100,2,FALSE), " ")</f>
        <v xml:space="preserve"> </v>
      </c>
      <c r="AZ124" s="32"/>
      <c r="BA124" s="32"/>
      <c r="BB124" s="53"/>
      <c r="BC124" s="21" t="str">
        <f>IFERROR(VLOOKUP(November[[#This Row],[Drug Name8]],'Data Options'!$R$1:$S$100,2,FALSE), " ")</f>
        <v xml:space="preserve"> </v>
      </c>
      <c r="BD124" s="32"/>
      <c r="BE124" s="32"/>
      <c r="BF124" s="53"/>
      <c r="BG124" s="21" t="str">
        <f>IFERROR(VLOOKUP(November[[#This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21" t="str">
        <f>IFERROR(VLOOKUP(November[[#This Row],[Drug Name]],'Data Options'!$R$1:$S$100,2,FALSE), " ")</f>
        <v xml:space="preserve"> </v>
      </c>
      <c r="R125" s="32"/>
      <c r="S125" s="32"/>
      <c r="T125" s="53"/>
      <c r="U125" s="21" t="str">
        <f>IFERROR(VLOOKUP(November[[#This Row],[Drug Name2]],'Data Options'!$R$1:$S$100,2,FALSE), " ")</f>
        <v xml:space="preserve"> </v>
      </c>
      <c r="V125" s="32"/>
      <c r="W125" s="32"/>
      <c r="X125" s="53"/>
      <c r="Y125" s="21" t="str">
        <f>IFERROR(VLOOKUP(November[[#This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21" t="str">
        <f>IFERROR(VLOOKUP(November[[#This Row],[Drug Name4]],'Data Options'!$R$1:$S$100,2,FALSE), " ")</f>
        <v xml:space="preserve"> </v>
      </c>
      <c r="AI125" s="32"/>
      <c r="AJ125" s="32"/>
      <c r="AK125" s="53"/>
      <c r="AL125" s="21" t="str">
        <f>IFERROR(VLOOKUP(November[[#This Row],[Drug Name5]],'Data Options'!$R$1:$S$100,2,FALSE), " ")</f>
        <v xml:space="preserve"> </v>
      </c>
      <c r="AM125" s="32"/>
      <c r="AN125" s="32"/>
      <c r="AO125" s="53"/>
      <c r="AP125" s="21" t="str">
        <f>IFERROR(VLOOKUP(November[[#This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21" t="str">
        <f>IFERROR(VLOOKUP(November[[#This Row],[Drug Name7]],'Data Options'!$R$1:$S$100,2,FALSE), " ")</f>
        <v xml:space="preserve"> </v>
      </c>
      <c r="AZ125" s="32"/>
      <c r="BA125" s="32"/>
      <c r="BB125" s="53"/>
      <c r="BC125" s="21" t="str">
        <f>IFERROR(VLOOKUP(November[[#This Row],[Drug Name8]],'Data Options'!$R$1:$S$100,2,FALSE), " ")</f>
        <v xml:space="preserve"> </v>
      </c>
      <c r="BD125" s="32"/>
      <c r="BE125" s="32"/>
      <c r="BF125" s="53"/>
      <c r="BG125" s="21" t="str">
        <f>IFERROR(VLOOKUP(November[[#This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21" t="str">
        <f>IFERROR(VLOOKUP(November[[#This Row],[Drug Name]],'Data Options'!$R$1:$S$100,2,FALSE), " ")</f>
        <v xml:space="preserve"> </v>
      </c>
      <c r="R126" s="32"/>
      <c r="S126" s="32"/>
      <c r="T126" s="53"/>
      <c r="U126" s="21" t="str">
        <f>IFERROR(VLOOKUP(November[[#This Row],[Drug Name2]],'Data Options'!$R$1:$S$100,2,FALSE), " ")</f>
        <v xml:space="preserve"> </v>
      </c>
      <c r="V126" s="32"/>
      <c r="W126" s="32"/>
      <c r="X126" s="53"/>
      <c r="Y126" s="21" t="str">
        <f>IFERROR(VLOOKUP(November[[#This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21" t="str">
        <f>IFERROR(VLOOKUP(November[[#This Row],[Drug Name4]],'Data Options'!$R$1:$S$100,2,FALSE), " ")</f>
        <v xml:space="preserve"> </v>
      </c>
      <c r="AI126" s="32"/>
      <c r="AJ126" s="32"/>
      <c r="AK126" s="53"/>
      <c r="AL126" s="21" t="str">
        <f>IFERROR(VLOOKUP(November[[#This Row],[Drug Name5]],'Data Options'!$R$1:$S$100,2,FALSE), " ")</f>
        <v xml:space="preserve"> </v>
      </c>
      <c r="AM126" s="32"/>
      <c r="AN126" s="32"/>
      <c r="AO126" s="53"/>
      <c r="AP126" s="21" t="str">
        <f>IFERROR(VLOOKUP(November[[#This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21" t="str">
        <f>IFERROR(VLOOKUP(November[[#This Row],[Drug Name7]],'Data Options'!$R$1:$S$100,2,FALSE), " ")</f>
        <v xml:space="preserve"> </v>
      </c>
      <c r="AZ126" s="32"/>
      <c r="BA126" s="32"/>
      <c r="BB126" s="53"/>
      <c r="BC126" s="21" t="str">
        <f>IFERROR(VLOOKUP(November[[#This Row],[Drug Name8]],'Data Options'!$R$1:$S$100,2,FALSE), " ")</f>
        <v xml:space="preserve"> </v>
      </c>
      <c r="BD126" s="32"/>
      <c r="BE126" s="32"/>
      <c r="BF126" s="53"/>
      <c r="BG126" s="21" t="str">
        <f>IFERROR(VLOOKUP(November[[#This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21" t="str">
        <f>IFERROR(VLOOKUP(November[[#This Row],[Drug Name]],'Data Options'!$R$1:$S$100,2,FALSE), " ")</f>
        <v xml:space="preserve"> </v>
      </c>
      <c r="R127" s="32"/>
      <c r="S127" s="32"/>
      <c r="T127" s="53"/>
      <c r="U127" s="21" t="str">
        <f>IFERROR(VLOOKUP(November[[#This Row],[Drug Name2]],'Data Options'!$R$1:$S$100,2,FALSE), " ")</f>
        <v xml:space="preserve"> </v>
      </c>
      <c r="V127" s="32"/>
      <c r="W127" s="32"/>
      <c r="X127" s="53"/>
      <c r="Y127" s="21" t="str">
        <f>IFERROR(VLOOKUP(November[[#This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21" t="str">
        <f>IFERROR(VLOOKUP(November[[#This Row],[Drug Name4]],'Data Options'!$R$1:$S$100,2,FALSE), " ")</f>
        <v xml:space="preserve"> </v>
      </c>
      <c r="AI127" s="32"/>
      <c r="AJ127" s="32"/>
      <c r="AK127" s="53"/>
      <c r="AL127" s="21" t="str">
        <f>IFERROR(VLOOKUP(November[[#This Row],[Drug Name5]],'Data Options'!$R$1:$S$100,2,FALSE), " ")</f>
        <v xml:space="preserve"> </v>
      </c>
      <c r="AM127" s="32"/>
      <c r="AN127" s="32"/>
      <c r="AO127" s="53"/>
      <c r="AP127" s="21" t="str">
        <f>IFERROR(VLOOKUP(November[[#This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21" t="str">
        <f>IFERROR(VLOOKUP(November[[#This Row],[Drug Name7]],'Data Options'!$R$1:$S$100,2,FALSE), " ")</f>
        <v xml:space="preserve"> </v>
      </c>
      <c r="AZ127" s="32"/>
      <c r="BA127" s="32"/>
      <c r="BB127" s="53"/>
      <c r="BC127" s="21" t="str">
        <f>IFERROR(VLOOKUP(November[[#This Row],[Drug Name8]],'Data Options'!$R$1:$S$100,2,FALSE), " ")</f>
        <v xml:space="preserve"> </v>
      </c>
      <c r="BD127" s="32"/>
      <c r="BE127" s="32"/>
      <c r="BF127" s="53"/>
      <c r="BG127" s="21" t="str">
        <f>IFERROR(VLOOKUP(November[[#This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21" t="str">
        <f>IFERROR(VLOOKUP(November[[#This Row],[Drug Name]],'Data Options'!$R$1:$S$100,2,FALSE), " ")</f>
        <v xml:space="preserve"> </v>
      </c>
      <c r="R128" s="32"/>
      <c r="S128" s="32"/>
      <c r="T128" s="53"/>
      <c r="U128" s="21" t="str">
        <f>IFERROR(VLOOKUP(November[[#This Row],[Drug Name2]],'Data Options'!$R$1:$S$100,2,FALSE), " ")</f>
        <v xml:space="preserve"> </v>
      </c>
      <c r="V128" s="32"/>
      <c r="W128" s="32"/>
      <c r="X128" s="53"/>
      <c r="Y128" s="21" t="str">
        <f>IFERROR(VLOOKUP(November[[#This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21" t="str">
        <f>IFERROR(VLOOKUP(November[[#This Row],[Drug Name4]],'Data Options'!$R$1:$S$100,2,FALSE), " ")</f>
        <v xml:space="preserve"> </v>
      </c>
      <c r="AI128" s="32"/>
      <c r="AJ128" s="32"/>
      <c r="AK128" s="53"/>
      <c r="AL128" s="21" t="str">
        <f>IFERROR(VLOOKUP(November[[#This Row],[Drug Name5]],'Data Options'!$R$1:$S$100,2,FALSE), " ")</f>
        <v xml:space="preserve"> </v>
      </c>
      <c r="AM128" s="32"/>
      <c r="AN128" s="32"/>
      <c r="AO128" s="53"/>
      <c r="AP128" s="21" t="str">
        <f>IFERROR(VLOOKUP(November[[#This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21" t="str">
        <f>IFERROR(VLOOKUP(November[[#This Row],[Drug Name7]],'Data Options'!$R$1:$S$100,2,FALSE), " ")</f>
        <v xml:space="preserve"> </v>
      </c>
      <c r="AZ128" s="32"/>
      <c r="BA128" s="32"/>
      <c r="BB128" s="53"/>
      <c r="BC128" s="21" t="str">
        <f>IFERROR(VLOOKUP(November[[#This Row],[Drug Name8]],'Data Options'!$R$1:$S$100,2,FALSE), " ")</f>
        <v xml:space="preserve"> </v>
      </c>
      <c r="BD128" s="32"/>
      <c r="BE128" s="32"/>
      <c r="BF128" s="53"/>
      <c r="BG128" s="21" t="str">
        <f>IFERROR(VLOOKUP(November[[#This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21" t="str">
        <f>IFERROR(VLOOKUP(November[[#This Row],[Drug Name]],'Data Options'!$R$1:$S$100,2,FALSE), " ")</f>
        <v xml:space="preserve"> </v>
      </c>
      <c r="R129" s="32"/>
      <c r="S129" s="32"/>
      <c r="T129" s="53"/>
      <c r="U129" s="21" t="str">
        <f>IFERROR(VLOOKUP(November[[#This Row],[Drug Name2]],'Data Options'!$R$1:$S$100,2,FALSE), " ")</f>
        <v xml:space="preserve"> </v>
      </c>
      <c r="V129" s="32"/>
      <c r="W129" s="32"/>
      <c r="X129" s="53"/>
      <c r="Y129" s="21" t="str">
        <f>IFERROR(VLOOKUP(November[[#This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21" t="str">
        <f>IFERROR(VLOOKUP(November[[#This Row],[Drug Name4]],'Data Options'!$R$1:$S$100,2,FALSE), " ")</f>
        <v xml:space="preserve"> </v>
      </c>
      <c r="AI129" s="32"/>
      <c r="AJ129" s="32"/>
      <c r="AK129" s="53"/>
      <c r="AL129" s="21" t="str">
        <f>IFERROR(VLOOKUP(November[[#This Row],[Drug Name5]],'Data Options'!$R$1:$S$100,2,FALSE), " ")</f>
        <v xml:space="preserve"> </v>
      </c>
      <c r="AM129" s="32"/>
      <c r="AN129" s="32"/>
      <c r="AO129" s="53"/>
      <c r="AP129" s="21" t="str">
        <f>IFERROR(VLOOKUP(November[[#This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21" t="str">
        <f>IFERROR(VLOOKUP(November[[#This Row],[Drug Name7]],'Data Options'!$R$1:$S$100,2,FALSE), " ")</f>
        <v xml:space="preserve"> </v>
      </c>
      <c r="AZ129" s="32"/>
      <c r="BA129" s="32"/>
      <c r="BB129" s="53"/>
      <c r="BC129" s="21" t="str">
        <f>IFERROR(VLOOKUP(November[[#This Row],[Drug Name8]],'Data Options'!$R$1:$S$100,2,FALSE), " ")</f>
        <v xml:space="preserve"> </v>
      </c>
      <c r="BD129" s="32"/>
      <c r="BE129" s="32"/>
      <c r="BF129" s="53"/>
      <c r="BG129" s="21" t="str">
        <f>IFERROR(VLOOKUP(November[[#This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21" t="str">
        <f>IFERROR(VLOOKUP(November[[#This Row],[Drug Name]],'Data Options'!$R$1:$S$100,2,FALSE), " ")</f>
        <v xml:space="preserve"> </v>
      </c>
      <c r="R130" s="32"/>
      <c r="S130" s="32"/>
      <c r="T130" s="53"/>
      <c r="U130" s="21" t="str">
        <f>IFERROR(VLOOKUP(November[[#This Row],[Drug Name2]],'Data Options'!$R$1:$S$100,2,FALSE), " ")</f>
        <v xml:space="preserve"> </v>
      </c>
      <c r="V130" s="32"/>
      <c r="W130" s="32"/>
      <c r="X130" s="53"/>
      <c r="Y130" s="21" t="str">
        <f>IFERROR(VLOOKUP(November[[#This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21" t="str">
        <f>IFERROR(VLOOKUP(November[[#This Row],[Drug Name4]],'Data Options'!$R$1:$S$100,2,FALSE), " ")</f>
        <v xml:space="preserve"> </v>
      </c>
      <c r="AI130" s="32"/>
      <c r="AJ130" s="32"/>
      <c r="AK130" s="53"/>
      <c r="AL130" s="21" t="str">
        <f>IFERROR(VLOOKUP(November[[#This Row],[Drug Name5]],'Data Options'!$R$1:$S$100,2,FALSE), " ")</f>
        <v xml:space="preserve"> </v>
      </c>
      <c r="AM130" s="32"/>
      <c r="AN130" s="32"/>
      <c r="AO130" s="53"/>
      <c r="AP130" s="21" t="str">
        <f>IFERROR(VLOOKUP(November[[#This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21" t="str">
        <f>IFERROR(VLOOKUP(November[[#This Row],[Drug Name7]],'Data Options'!$R$1:$S$100,2,FALSE), " ")</f>
        <v xml:space="preserve"> </v>
      </c>
      <c r="AZ130" s="32"/>
      <c r="BA130" s="32"/>
      <c r="BB130" s="53"/>
      <c r="BC130" s="21" t="str">
        <f>IFERROR(VLOOKUP(November[[#This Row],[Drug Name8]],'Data Options'!$R$1:$S$100,2,FALSE), " ")</f>
        <v xml:space="preserve"> </v>
      </c>
      <c r="BD130" s="32"/>
      <c r="BE130" s="32"/>
      <c r="BF130" s="53"/>
      <c r="BG130" s="21" t="str">
        <f>IFERROR(VLOOKUP(November[[#This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21" t="str">
        <f>IFERROR(VLOOKUP(November[[#This Row],[Drug Name]],'Data Options'!$R$1:$S$100,2,FALSE), " ")</f>
        <v xml:space="preserve"> </v>
      </c>
      <c r="R131" s="32"/>
      <c r="S131" s="32"/>
      <c r="T131" s="53"/>
      <c r="U131" s="21" t="str">
        <f>IFERROR(VLOOKUP(November[[#This Row],[Drug Name2]],'Data Options'!$R$1:$S$100,2,FALSE), " ")</f>
        <v xml:space="preserve"> </v>
      </c>
      <c r="V131" s="32"/>
      <c r="W131" s="32"/>
      <c r="X131" s="53"/>
      <c r="Y131" s="21" t="str">
        <f>IFERROR(VLOOKUP(November[[#This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21" t="str">
        <f>IFERROR(VLOOKUP(November[[#This Row],[Drug Name4]],'Data Options'!$R$1:$S$100,2,FALSE), " ")</f>
        <v xml:space="preserve"> </v>
      </c>
      <c r="AI131" s="32"/>
      <c r="AJ131" s="32"/>
      <c r="AK131" s="53"/>
      <c r="AL131" s="21" t="str">
        <f>IFERROR(VLOOKUP(November[[#This Row],[Drug Name5]],'Data Options'!$R$1:$S$100,2,FALSE), " ")</f>
        <v xml:space="preserve"> </v>
      </c>
      <c r="AM131" s="32"/>
      <c r="AN131" s="32"/>
      <c r="AO131" s="53"/>
      <c r="AP131" s="21" t="str">
        <f>IFERROR(VLOOKUP(November[[#This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21" t="str">
        <f>IFERROR(VLOOKUP(November[[#This Row],[Drug Name7]],'Data Options'!$R$1:$S$100,2,FALSE), " ")</f>
        <v xml:space="preserve"> </v>
      </c>
      <c r="AZ131" s="32"/>
      <c r="BA131" s="32"/>
      <c r="BB131" s="53"/>
      <c r="BC131" s="21" t="str">
        <f>IFERROR(VLOOKUP(November[[#This Row],[Drug Name8]],'Data Options'!$R$1:$S$100,2,FALSE), " ")</f>
        <v xml:space="preserve"> </v>
      </c>
      <c r="BD131" s="32"/>
      <c r="BE131" s="32"/>
      <c r="BF131" s="53"/>
      <c r="BG131" s="21" t="str">
        <f>IFERROR(VLOOKUP(November[[#This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21" t="str">
        <f>IFERROR(VLOOKUP(November[[#This Row],[Drug Name]],'Data Options'!$R$1:$S$100,2,FALSE), " ")</f>
        <v xml:space="preserve"> </v>
      </c>
      <c r="R132" s="32"/>
      <c r="S132" s="32"/>
      <c r="T132" s="53"/>
      <c r="U132" s="21" t="str">
        <f>IFERROR(VLOOKUP(November[[#This Row],[Drug Name2]],'Data Options'!$R$1:$S$100,2,FALSE), " ")</f>
        <v xml:space="preserve"> </v>
      </c>
      <c r="V132" s="32"/>
      <c r="W132" s="32"/>
      <c r="X132" s="53"/>
      <c r="Y132" s="21" t="str">
        <f>IFERROR(VLOOKUP(November[[#This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21" t="str">
        <f>IFERROR(VLOOKUP(November[[#This Row],[Drug Name4]],'Data Options'!$R$1:$S$100,2,FALSE), " ")</f>
        <v xml:space="preserve"> </v>
      </c>
      <c r="AI132" s="32"/>
      <c r="AJ132" s="32"/>
      <c r="AK132" s="53"/>
      <c r="AL132" s="21" t="str">
        <f>IFERROR(VLOOKUP(November[[#This Row],[Drug Name5]],'Data Options'!$R$1:$S$100,2,FALSE), " ")</f>
        <v xml:space="preserve"> </v>
      </c>
      <c r="AM132" s="32"/>
      <c r="AN132" s="32"/>
      <c r="AO132" s="53"/>
      <c r="AP132" s="21" t="str">
        <f>IFERROR(VLOOKUP(November[[#This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21" t="str">
        <f>IFERROR(VLOOKUP(November[[#This Row],[Drug Name7]],'Data Options'!$R$1:$S$100,2,FALSE), " ")</f>
        <v xml:space="preserve"> </v>
      </c>
      <c r="AZ132" s="32"/>
      <c r="BA132" s="32"/>
      <c r="BB132" s="53"/>
      <c r="BC132" s="21" t="str">
        <f>IFERROR(VLOOKUP(November[[#This Row],[Drug Name8]],'Data Options'!$R$1:$S$100,2,FALSE), " ")</f>
        <v xml:space="preserve"> </v>
      </c>
      <c r="BD132" s="32"/>
      <c r="BE132" s="32"/>
      <c r="BF132" s="53"/>
      <c r="BG132" s="21" t="str">
        <f>IFERROR(VLOOKUP(November[[#This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21" t="str">
        <f>IFERROR(VLOOKUP(November[[#This Row],[Drug Name]],'Data Options'!$R$1:$S$100,2,FALSE), " ")</f>
        <v xml:space="preserve"> </v>
      </c>
      <c r="R133" s="32"/>
      <c r="S133" s="32"/>
      <c r="T133" s="53"/>
      <c r="U133" s="21" t="str">
        <f>IFERROR(VLOOKUP(November[[#This Row],[Drug Name2]],'Data Options'!$R$1:$S$100,2,FALSE), " ")</f>
        <v xml:space="preserve"> </v>
      </c>
      <c r="V133" s="32"/>
      <c r="W133" s="32"/>
      <c r="X133" s="53"/>
      <c r="Y133" s="21" t="str">
        <f>IFERROR(VLOOKUP(November[[#This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21" t="str">
        <f>IFERROR(VLOOKUP(November[[#This Row],[Drug Name4]],'Data Options'!$R$1:$S$100,2,FALSE), " ")</f>
        <v xml:space="preserve"> </v>
      </c>
      <c r="AI133" s="32"/>
      <c r="AJ133" s="32"/>
      <c r="AK133" s="53"/>
      <c r="AL133" s="21" t="str">
        <f>IFERROR(VLOOKUP(November[[#This Row],[Drug Name5]],'Data Options'!$R$1:$S$100,2,FALSE), " ")</f>
        <v xml:space="preserve"> </v>
      </c>
      <c r="AM133" s="32"/>
      <c r="AN133" s="32"/>
      <c r="AO133" s="53"/>
      <c r="AP133" s="21" t="str">
        <f>IFERROR(VLOOKUP(November[[#This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21" t="str">
        <f>IFERROR(VLOOKUP(November[[#This Row],[Drug Name7]],'Data Options'!$R$1:$S$100,2,FALSE), " ")</f>
        <v xml:space="preserve"> </v>
      </c>
      <c r="AZ133" s="32"/>
      <c r="BA133" s="32"/>
      <c r="BB133" s="53"/>
      <c r="BC133" s="21" t="str">
        <f>IFERROR(VLOOKUP(November[[#This Row],[Drug Name8]],'Data Options'!$R$1:$S$100,2,FALSE), " ")</f>
        <v xml:space="preserve"> </v>
      </c>
      <c r="BD133" s="32"/>
      <c r="BE133" s="32"/>
      <c r="BF133" s="53"/>
      <c r="BG133" s="21" t="str">
        <f>IFERROR(VLOOKUP(November[[#This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21" t="str">
        <f>IFERROR(VLOOKUP(November[[#This Row],[Drug Name]],'Data Options'!$R$1:$S$100,2,FALSE), " ")</f>
        <v xml:space="preserve"> </v>
      </c>
      <c r="R134" s="32"/>
      <c r="S134" s="32"/>
      <c r="T134" s="53"/>
      <c r="U134" s="21" t="str">
        <f>IFERROR(VLOOKUP(November[[#This Row],[Drug Name2]],'Data Options'!$R$1:$S$100,2,FALSE), " ")</f>
        <v xml:space="preserve"> </v>
      </c>
      <c r="V134" s="32"/>
      <c r="W134" s="32"/>
      <c r="X134" s="53"/>
      <c r="Y134" s="21" t="str">
        <f>IFERROR(VLOOKUP(November[[#This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21" t="str">
        <f>IFERROR(VLOOKUP(November[[#This Row],[Drug Name4]],'Data Options'!$R$1:$S$100,2,FALSE), " ")</f>
        <v xml:space="preserve"> </v>
      </c>
      <c r="AI134" s="32"/>
      <c r="AJ134" s="32"/>
      <c r="AK134" s="53"/>
      <c r="AL134" s="21" t="str">
        <f>IFERROR(VLOOKUP(November[[#This Row],[Drug Name5]],'Data Options'!$R$1:$S$100,2,FALSE), " ")</f>
        <v xml:space="preserve"> </v>
      </c>
      <c r="AM134" s="32"/>
      <c r="AN134" s="32"/>
      <c r="AO134" s="53"/>
      <c r="AP134" s="21" t="str">
        <f>IFERROR(VLOOKUP(November[[#This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21" t="str">
        <f>IFERROR(VLOOKUP(November[[#This Row],[Drug Name7]],'Data Options'!$R$1:$S$100,2,FALSE), " ")</f>
        <v xml:space="preserve"> </v>
      </c>
      <c r="AZ134" s="32"/>
      <c r="BA134" s="32"/>
      <c r="BB134" s="53"/>
      <c r="BC134" s="21" t="str">
        <f>IFERROR(VLOOKUP(November[[#This Row],[Drug Name8]],'Data Options'!$R$1:$S$100,2,FALSE), " ")</f>
        <v xml:space="preserve"> </v>
      </c>
      <c r="BD134" s="32"/>
      <c r="BE134" s="32"/>
      <c r="BF134" s="53"/>
      <c r="BG134" s="21" t="str">
        <f>IFERROR(VLOOKUP(November[[#This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21" t="str">
        <f>IFERROR(VLOOKUP(November[[#This Row],[Drug Name]],'Data Options'!$R$1:$S$100,2,FALSE), " ")</f>
        <v xml:space="preserve"> </v>
      </c>
      <c r="R135" s="32"/>
      <c r="S135" s="32"/>
      <c r="T135" s="53"/>
      <c r="U135" s="21" t="str">
        <f>IFERROR(VLOOKUP(November[[#This Row],[Drug Name2]],'Data Options'!$R$1:$S$100,2,FALSE), " ")</f>
        <v xml:space="preserve"> </v>
      </c>
      <c r="V135" s="32"/>
      <c r="W135" s="32"/>
      <c r="X135" s="53"/>
      <c r="Y135" s="21" t="str">
        <f>IFERROR(VLOOKUP(November[[#This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21" t="str">
        <f>IFERROR(VLOOKUP(November[[#This Row],[Drug Name4]],'Data Options'!$R$1:$S$100,2,FALSE), " ")</f>
        <v xml:space="preserve"> </v>
      </c>
      <c r="AI135" s="32"/>
      <c r="AJ135" s="32"/>
      <c r="AK135" s="53"/>
      <c r="AL135" s="21" t="str">
        <f>IFERROR(VLOOKUP(November[[#This Row],[Drug Name5]],'Data Options'!$R$1:$S$100,2,FALSE), " ")</f>
        <v xml:space="preserve"> </v>
      </c>
      <c r="AM135" s="32"/>
      <c r="AN135" s="32"/>
      <c r="AO135" s="53"/>
      <c r="AP135" s="21" t="str">
        <f>IFERROR(VLOOKUP(November[[#This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21" t="str">
        <f>IFERROR(VLOOKUP(November[[#This Row],[Drug Name7]],'Data Options'!$R$1:$S$100,2,FALSE), " ")</f>
        <v xml:space="preserve"> </v>
      </c>
      <c r="AZ135" s="32"/>
      <c r="BA135" s="32"/>
      <c r="BB135" s="53"/>
      <c r="BC135" s="21" t="str">
        <f>IFERROR(VLOOKUP(November[[#This Row],[Drug Name8]],'Data Options'!$R$1:$S$100,2,FALSE), " ")</f>
        <v xml:space="preserve"> </v>
      </c>
      <c r="BD135" s="32"/>
      <c r="BE135" s="32"/>
      <c r="BF135" s="53"/>
      <c r="BG135" s="21" t="str">
        <f>IFERROR(VLOOKUP(November[[#This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21" t="str">
        <f>IFERROR(VLOOKUP(November[[#This Row],[Drug Name]],'Data Options'!$R$1:$S$100,2,FALSE), " ")</f>
        <v xml:space="preserve"> </v>
      </c>
      <c r="R136" s="32"/>
      <c r="S136" s="32"/>
      <c r="T136" s="53"/>
      <c r="U136" s="21" t="str">
        <f>IFERROR(VLOOKUP(November[[#This Row],[Drug Name2]],'Data Options'!$R$1:$S$100,2,FALSE), " ")</f>
        <v xml:space="preserve"> </v>
      </c>
      <c r="V136" s="32"/>
      <c r="W136" s="32"/>
      <c r="X136" s="53"/>
      <c r="Y136" s="21" t="str">
        <f>IFERROR(VLOOKUP(November[[#This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21" t="str">
        <f>IFERROR(VLOOKUP(November[[#This Row],[Drug Name4]],'Data Options'!$R$1:$S$100,2,FALSE), " ")</f>
        <v xml:space="preserve"> </v>
      </c>
      <c r="AI136" s="32"/>
      <c r="AJ136" s="32"/>
      <c r="AK136" s="53"/>
      <c r="AL136" s="21" t="str">
        <f>IFERROR(VLOOKUP(November[[#This Row],[Drug Name5]],'Data Options'!$R$1:$S$100,2,FALSE), " ")</f>
        <v xml:space="preserve"> </v>
      </c>
      <c r="AM136" s="32"/>
      <c r="AN136" s="32"/>
      <c r="AO136" s="53"/>
      <c r="AP136" s="21" t="str">
        <f>IFERROR(VLOOKUP(November[[#This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21" t="str">
        <f>IFERROR(VLOOKUP(November[[#This Row],[Drug Name7]],'Data Options'!$R$1:$S$100,2,FALSE), " ")</f>
        <v xml:space="preserve"> </v>
      </c>
      <c r="AZ136" s="32"/>
      <c r="BA136" s="32"/>
      <c r="BB136" s="53"/>
      <c r="BC136" s="21" t="str">
        <f>IFERROR(VLOOKUP(November[[#This Row],[Drug Name8]],'Data Options'!$R$1:$S$100,2,FALSE), " ")</f>
        <v xml:space="preserve"> </v>
      </c>
      <c r="BD136" s="32"/>
      <c r="BE136" s="32"/>
      <c r="BF136" s="53"/>
      <c r="BG136" s="21" t="str">
        <f>IFERROR(VLOOKUP(November[[#This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21" t="str">
        <f>IFERROR(VLOOKUP(November[[#This Row],[Drug Name]],'Data Options'!$R$1:$S$100,2,FALSE), " ")</f>
        <v xml:space="preserve"> </v>
      </c>
      <c r="R137" s="32"/>
      <c r="S137" s="32"/>
      <c r="T137" s="53"/>
      <c r="U137" s="21" t="str">
        <f>IFERROR(VLOOKUP(November[[#This Row],[Drug Name2]],'Data Options'!$R$1:$S$100,2,FALSE), " ")</f>
        <v xml:space="preserve"> </v>
      </c>
      <c r="V137" s="32"/>
      <c r="W137" s="32"/>
      <c r="X137" s="53"/>
      <c r="Y137" s="21" t="str">
        <f>IFERROR(VLOOKUP(November[[#This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21" t="str">
        <f>IFERROR(VLOOKUP(November[[#This Row],[Drug Name4]],'Data Options'!$R$1:$S$100,2,FALSE), " ")</f>
        <v xml:space="preserve"> </v>
      </c>
      <c r="AI137" s="32"/>
      <c r="AJ137" s="32"/>
      <c r="AK137" s="53"/>
      <c r="AL137" s="21" t="str">
        <f>IFERROR(VLOOKUP(November[[#This Row],[Drug Name5]],'Data Options'!$R$1:$S$100,2,FALSE), " ")</f>
        <v xml:space="preserve"> </v>
      </c>
      <c r="AM137" s="32"/>
      <c r="AN137" s="32"/>
      <c r="AO137" s="53"/>
      <c r="AP137" s="21" t="str">
        <f>IFERROR(VLOOKUP(November[[#This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21" t="str">
        <f>IFERROR(VLOOKUP(November[[#This Row],[Drug Name7]],'Data Options'!$R$1:$S$100,2,FALSE), " ")</f>
        <v xml:space="preserve"> </v>
      </c>
      <c r="AZ137" s="32"/>
      <c r="BA137" s="32"/>
      <c r="BB137" s="53"/>
      <c r="BC137" s="21" t="str">
        <f>IFERROR(VLOOKUP(November[[#This Row],[Drug Name8]],'Data Options'!$R$1:$S$100,2,FALSE), " ")</f>
        <v xml:space="preserve"> </v>
      </c>
      <c r="BD137" s="32"/>
      <c r="BE137" s="32"/>
      <c r="BF137" s="53"/>
      <c r="BG137" s="21" t="str">
        <f>IFERROR(VLOOKUP(November[[#This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21" t="str">
        <f>IFERROR(VLOOKUP(November[[#This Row],[Drug Name]],'Data Options'!$R$1:$S$100,2,FALSE), " ")</f>
        <v xml:space="preserve"> </v>
      </c>
      <c r="R138" s="32"/>
      <c r="S138" s="32"/>
      <c r="T138" s="53"/>
      <c r="U138" s="21" t="str">
        <f>IFERROR(VLOOKUP(November[[#This Row],[Drug Name2]],'Data Options'!$R$1:$S$100,2,FALSE), " ")</f>
        <v xml:space="preserve"> </v>
      </c>
      <c r="V138" s="32"/>
      <c r="W138" s="32"/>
      <c r="X138" s="53"/>
      <c r="Y138" s="21" t="str">
        <f>IFERROR(VLOOKUP(November[[#This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21" t="str">
        <f>IFERROR(VLOOKUP(November[[#This Row],[Drug Name4]],'Data Options'!$R$1:$S$100,2,FALSE), " ")</f>
        <v xml:space="preserve"> </v>
      </c>
      <c r="AI138" s="32"/>
      <c r="AJ138" s="32"/>
      <c r="AK138" s="53"/>
      <c r="AL138" s="21" t="str">
        <f>IFERROR(VLOOKUP(November[[#This Row],[Drug Name5]],'Data Options'!$R$1:$S$100,2,FALSE), " ")</f>
        <v xml:space="preserve"> </v>
      </c>
      <c r="AM138" s="32"/>
      <c r="AN138" s="32"/>
      <c r="AO138" s="53"/>
      <c r="AP138" s="21" t="str">
        <f>IFERROR(VLOOKUP(November[[#This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21" t="str">
        <f>IFERROR(VLOOKUP(November[[#This Row],[Drug Name7]],'Data Options'!$R$1:$S$100,2,FALSE), " ")</f>
        <v xml:space="preserve"> </v>
      </c>
      <c r="AZ138" s="32"/>
      <c r="BA138" s="32"/>
      <c r="BB138" s="53"/>
      <c r="BC138" s="21" t="str">
        <f>IFERROR(VLOOKUP(November[[#This Row],[Drug Name8]],'Data Options'!$R$1:$S$100,2,FALSE), " ")</f>
        <v xml:space="preserve"> </v>
      </c>
      <c r="BD138" s="32"/>
      <c r="BE138" s="32"/>
      <c r="BF138" s="53"/>
      <c r="BG138" s="21" t="str">
        <f>IFERROR(VLOOKUP(November[[#This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21" t="str">
        <f>IFERROR(VLOOKUP(November[[#This Row],[Drug Name]],'Data Options'!$R$1:$S$100,2,FALSE), " ")</f>
        <v xml:space="preserve"> </v>
      </c>
      <c r="R139" s="32"/>
      <c r="S139" s="32"/>
      <c r="T139" s="53"/>
      <c r="U139" s="21" t="str">
        <f>IFERROR(VLOOKUP(November[[#This Row],[Drug Name2]],'Data Options'!$R$1:$S$100,2,FALSE), " ")</f>
        <v xml:space="preserve"> </v>
      </c>
      <c r="V139" s="32"/>
      <c r="W139" s="32"/>
      <c r="X139" s="53"/>
      <c r="Y139" s="21" t="str">
        <f>IFERROR(VLOOKUP(November[[#This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21" t="str">
        <f>IFERROR(VLOOKUP(November[[#This Row],[Drug Name4]],'Data Options'!$R$1:$S$100,2,FALSE), " ")</f>
        <v xml:space="preserve"> </v>
      </c>
      <c r="AI139" s="32"/>
      <c r="AJ139" s="32"/>
      <c r="AK139" s="53"/>
      <c r="AL139" s="21" t="str">
        <f>IFERROR(VLOOKUP(November[[#This Row],[Drug Name5]],'Data Options'!$R$1:$S$100,2,FALSE), " ")</f>
        <v xml:space="preserve"> </v>
      </c>
      <c r="AM139" s="32"/>
      <c r="AN139" s="32"/>
      <c r="AO139" s="53"/>
      <c r="AP139" s="21" t="str">
        <f>IFERROR(VLOOKUP(November[[#This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21" t="str">
        <f>IFERROR(VLOOKUP(November[[#This Row],[Drug Name7]],'Data Options'!$R$1:$S$100,2,FALSE), " ")</f>
        <v xml:space="preserve"> </v>
      </c>
      <c r="AZ139" s="32"/>
      <c r="BA139" s="32"/>
      <c r="BB139" s="53"/>
      <c r="BC139" s="21" t="str">
        <f>IFERROR(VLOOKUP(November[[#This Row],[Drug Name8]],'Data Options'!$R$1:$S$100,2,FALSE), " ")</f>
        <v xml:space="preserve"> </v>
      </c>
      <c r="BD139" s="32"/>
      <c r="BE139" s="32"/>
      <c r="BF139" s="53"/>
      <c r="BG139" s="21" t="str">
        <f>IFERROR(VLOOKUP(November[[#This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21" t="str">
        <f>IFERROR(VLOOKUP(November[[#This Row],[Drug Name]],'Data Options'!$R$1:$S$100,2,FALSE), " ")</f>
        <v xml:space="preserve"> </v>
      </c>
      <c r="R140" s="32"/>
      <c r="S140" s="32"/>
      <c r="T140" s="53"/>
      <c r="U140" s="21" t="str">
        <f>IFERROR(VLOOKUP(November[[#This Row],[Drug Name2]],'Data Options'!$R$1:$S$100,2,FALSE), " ")</f>
        <v xml:space="preserve"> </v>
      </c>
      <c r="V140" s="32"/>
      <c r="W140" s="32"/>
      <c r="X140" s="53"/>
      <c r="Y140" s="21" t="str">
        <f>IFERROR(VLOOKUP(November[[#This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21" t="str">
        <f>IFERROR(VLOOKUP(November[[#This Row],[Drug Name4]],'Data Options'!$R$1:$S$100,2,FALSE), " ")</f>
        <v xml:space="preserve"> </v>
      </c>
      <c r="AI140" s="32"/>
      <c r="AJ140" s="32"/>
      <c r="AK140" s="53"/>
      <c r="AL140" s="21" t="str">
        <f>IFERROR(VLOOKUP(November[[#This Row],[Drug Name5]],'Data Options'!$R$1:$S$100,2,FALSE), " ")</f>
        <v xml:space="preserve"> </v>
      </c>
      <c r="AM140" s="32"/>
      <c r="AN140" s="32"/>
      <c r="AO140" s="53"/>
      <c r="AP140" s="21" t="str">
        <f>IFERROR(VLOOKUP(November[[#This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21" t="str">
        <f>IFERROR(VLOOKUP(November[[#This Row],[Drug Name7]],'Data Options'!$R$1:$S$100,2,FALSE), " ")</f>
        <v xml:space="preserve"> </v>
      </c>
      <c r="AZ140" s="32"/>
      <c r="BA140" s="32"/>
      <c r="BB140" s="53"/>
      <c r="BC140" s="21" t="str">
        <f>IFERROR(VLOOKUP(November[[#This Row],[Drug Name8]],'Data Options'!$R$1:$S$100,2,FALSE), " ")</f>
        <v xml:space="preserve"> </v>
      </c>
      <c r="BD140" s="32"/>
      <c r="BE140" s="32"/>
      <c r="BF140" s="53"/>
      <c r="BG140" s="21" t="str">
        <f>IFERROR(VLOOKUP(November[[#This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21" t="str">
        <f>IFERROR(VLOOKUP(November[[#This Row],[Drug Name]],'Data Options'!$R$1:$S$100,2,FALSE), " ")</f>
        <v xml:space="preserve"> </v>
      </c>
      <c r="R141" s="32"/>
      <c r="S141" s="32"/>
      <c r="T141" s="53"/>
      <c r="U141" s="21" t="str">
        <f>IFERROR(VLOOKUP(November[[#This Row],[Drug Name2]],'Data Options'!$R$1:$S$100,2,FALSE), " ")</f>
        <v xml:space="preserve"> </v>
      </c>
      <c r="V141" s="32"/>
      <c r="W141" s="32"/>
      <c r="X141" s="53"/>
      <c r="Y141" s="21" t="str">
        <f>IFERROR(VLOOKUP(November[[#This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21" t="str">
        <f>IFERROR(VLOOKUP(November[[#This Row],[Drug Name4]],'Data Options'!$R$1:$S$100,2,FALSE), " ")</f>
        <v xml:space="preserve"> </v>
      </c>
      <c r="AI141" s="32"/>
      <c r="AJ141" s="32"/>
      <c r="AK141" s="53"/>
      <c r="AL141" s="21" t="str">
        <f>IFERROR(VLOOKUP(November[[#This Row],[Drug Name5]],'Data Options'!$R$1:$S$100,2,FALSE), " ")</f>
        <v xml:space="preserve"> </v>
      </c>
      <c r="AM141" s="32"/>
      <c r="AN141" s="32"/>
      <c r="AO141" s="53"/>
      <c r="AP141" s="21" t="str">
        <f>IFERROR(VLOOKUP(November[[#This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21" t="str">
        <f>IFERROR(VLOOKUP(November[[#This Row],[Drug Name7]],'Data Options'!$R$1:$S$100,2,FALSE), " ")</f>
        <v xml:space="preserve"> </v>
      </c>
      <c r="AZ141" s="32"/>
      <c r="BA141" s="32"/>
      <c r="BB141" s="53"/>
      <c r="BC141" s="21" t="str">
        <f>IFERROR(VLOOKUP(November[[#This Row],[Drug Name8]],'Data Options'!$R$1:$S$100,2,FALSE), " ")</f>
        <v xml:space="preserve"> </v>
      </c>
      <c r="BD141" s="32"/>
      <c r="BE141" s="32"/>
      <c r="BF141" s="53"/>
      <c r="BG141" s="21" t="str">
        <f>IFERROR(VLOOKUP(November[[#This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21" t="str">
        <f>IFERROR(VLOOKUP(November[[#This Row],[Drug Name]],'Data Options'!$R$1:$S$100,2,FALSE), " ")</f>
        <v xml:space="preserve"> </v>
      </c>
      <c r="R142" s="32"/>
      <c r="S142" s="32"/>
      <c r="T142" s="53"/>
      <c r="U142" s="21" t="str">
        <f>IFERROR(VLOOKUP(November[[#This Row],[Drug Name2]],'Data Options'!$R$1:$S$100,2,FALSE), " ")</f>
        <v xml:space="preserve"> </v>
      </c>
      <c r="V142" s="32"/>
      <c r="W142" s="32"/>
      <c r="X142" s="53"/>
      <c r="Y142" s="21" t="str">
        <f>IFERROR(VLOOKUP(November[[#This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21" t="str">
        <f>IFERROR(VLOOKUP(November[[#This Row],[Drug Name4]],'Data Options'!$R$1:$S$100,2,FALSE), " ")</f>
        <v xml:space="preserve"> </v>
      </c>
      <c r="AI142" s="32"/>
      <c r="AJ142" s="32"/>
      <c r="AK142" s="53"/>
      <c r="AL142" s="21" t="str">
        <f>IFERROR(VLOOKUP(November[[#This Row],[Drug Name5]],'Data Options'!$R$1:$S$100,2,FALSE), " ")</f>
        <v xml:space="preserve"> </v>
      </c>
      <c r="AM142" s="32"/>
      <c r="AN142" s="32"/>
      <c r="AO142" s="53"/>
      <c r="AP142" s="21" t="str">
        <f>IFERROR(VLOOKUP(November[[#This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21" t="str">
        <f>IFERROR(VLOOKUP(November[[#This Row],[Drug Name7]],'Data Options'!$R$1:$S$100,2,FALSE), " ")</f>
        <v xml:space="preserve"> </v>
      </c>
      <c r="AZ142" s="32"/>
      <c r="BA142" s="32"/>
      <c r="BB142" s="53"/>
      <c r="BC142" s="21" t="str">
        <f>IFERROR(VLOOKUP(November[[#This Row],[Drug Name8]],'Data Options'!$R$1:$S$100,2,FALSE), " ")</f>
        <v xml:space="preserve"> </v>
      </c>
      <c r="BD142" s="32"/>
      <c r="BE142" s="32"/>
      <c r="BF142" s="53"/>
      <c r="BG142" s="21" t="str">
        <f>IFERROR(VLOOKUP(November[[#This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21" t="str">
        <f>IFERROR(VLOOKUP(November[[#This Row],[Drug Name]],'Data Options'!$R$1:$S$100,2,FALSE), " ")</f>
        <v xml:space="preserve"> </v>
      </c>
      <c r="R143" s="32"/>
      <c r="S143" s="32"/>
      <c r="T143" s="53"/>
      <c r="U143" s="21" t="str">
        <f>IFERROR(VLOOKUP(November[[#This Row],[Drug Name2]],'Data Options'!$R$1:$S$100,2,FALSE), " ")</f>
        <v xml:space="preserve"> </v>
      </c>
      <c r="V143" s="32"/>
      <c r="W143" s="32"/>
      <c r="X143" s="53"/>
      <c r="Y143" s="21" t="str">
        <f>IFERROR(VLOOKUP(November[[#This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21" t="str">
        <f>IFERROR(VLOOKUP(November[[#This Row],[Drug Name4]],'Data Options'!$R$1:$S$100,2,FALSE), " ")</f>
        <v xml:space="preserve"> </v>
      </c>
      <c r="AI143" s="32"/>
      <c r="AJ143" s="32"/>
      <c r="AK143" s="53"/>
      <c r="AL143" s="21" t="str">
        <f>IFERROR(VLOOKUP(November[[#This Row],[Drug Name5]],'Data Options'!$R$1:$S$100,2,FALSE), " ")</f>
        <v xml:space="preserve"> </v>
      </c>
      <c r="AM143" s="32"/>
      <c r="AN143" s="32"/>
      <c r="AO143" s="53"/>
      <c r="AP143" s="21" t="str">
        <f>IFERROR(VLOOKUP(November[[#This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21" t="str">
        <f>IFERROR(VLOOKUP(November[[#This Row],[Drug Name7]],'Data Options'!$R$1:$S$100,2,FALSE), " ")</f>
        <v xml:space="preserve"> </v>
      </c>
      <c r="AZ143" s="32"/>
      <c r="BA143" s="32"/>
      <c r="BB143" s="53"/>
      <c r="BC143" s="21" t="str">
        <f>IFERROR(VLOOKUP(November[[#This Row],[Drug Name8]],'Data Options'!$R$1:$S$100,2,FALSE), " ")</f>
        <v xml:space="preserve"> </v>
      </c>
      <c r="BD143" s="32"/>
      <c r="BE143" s="32"/>
      <c r="BF143" s="53"/>
      <c r="BG143" s="21" t="str">
        <f>IFERROR(VLOOKUP(November[[#This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21" t="str">
        <f>IFERROR(VLOOKUP(November[[#This Row],[Drug Name]],'Data Options'!$R$1:$S$100,2,FALSE), " ")</f>
        <v xml:space="preserve"> </v>
      </c>
      <c r="R144" s="32"/>
      <c r="S144" s="32"/>
      <c r="T144" s="53"/>
      <c r="U144" s="21" t="str">
        <f>IFERROR(VLOOKUP(November[[#This Row],[Drug Name2]],'Data Options'!$R$1:$S$100,2,FALSE), " ")</f>
        <v xml:space="preserve"> </v>
      </c>
      <c r="V144" s="32"/>
      <c r="W144" s="32"/>
      <c r="X144" s="53"/>
      <c r="Y144" s="21" t="str">
        <f>IFERROR(VLOOKUP(November[[#This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21" t="str">
        <f>IFERROR(VLOOKUP(November[[#This Row],[Drug Name4]],'Data Options'!$R$1:$S$100,2,FALSE), " ")</f>
        <v xml:space="preserve"> </v>
      </c>
      <c r="AI144" s="32"/>
      <c r="AJ144" s="32"/>
      <c r="AK144" s="53"/>
      <c r="AL144" s="21" t="str">
        <f>IFERROR(VLOOKUP(November[[#This Row],[Drug Name5]],'Data Options'!$R$1:$S$100,2,FALSE), " ")</f>
        <v xml:space="preserve"> </v>
      </c>
      <c r="AM144" s="32"/>
      <c r="AN144" s="32"/>
      <c r="AO144" s="53"/>
      <c r="AP144" s="21" t="str">
        <f>IFERROR(VLOOKUP(November[[#This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21" t="str">
        <f>IFERROR(VLOOKUP(November[[#This Row],[Drug Name7]],'Data Options'!$R$1:$S$100,2,FALSE), " ")</f>
        <v xml:space="preserve"> </v>
      </c>
      <c r="AZ144" s="32"/>
      <c r="BA144" s="32"/>
      <c r="BB144" s="53"/>
      <c r="BC144" s="21" t="str">
        <f>IFERROR(VLOOKUP(November[[#This Row],[Drug Name8]],'Data Options'!$R$1:$S$100,2,FALSE), " ")</f>
        <v xml:space="preserve"> </v>
      </c>
      <c r="BD144" s="32"/>
      <c r="BE144" s="32"/>
      <c r="BF144" s="53"/>
      <c r="BG144" s="21" t="str">
        <f>IFERROR(VLOOKUP(November[[#This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21" t="str">
        <f>IFERROR(VLOOKUP(November[[#This Row],[Drug Name]],'Data Options'!$R$1:$S$100,2,FALSE), " ")</f>
        <v xml:space="preserve"> </v>
      </c>
      <c r="R145" s="32"/>
      <c r="S145" s="32"/>
      <c r="T145" s="53"/>
      <c r="U145" s="21" t="str">
        <f>IFERROR(VLOOKUP(November[[#This Row],[Drug Name2]],'Data Options'!$R$1:$S$100,2,FALSE), " ")</f>
        <v xml:space="preserve"> </v>
      </c>
      <c r="V145" s="32"/>
      <c r="W145" s="32"/>
      <c r="X145" s="53"/>
      <c r="Y145" s="21" t="str">
        <f>IFERROR(VLOOKUP(November[[#This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21" t="str">
        <f>IFERROR(VLOOKUP(November[[#This Row],[Drug Name4]],'Data Options'!$R$1:$S$100,2,FALSE), " ")</f>
        <v xml:space="preserve"> </v>
      </c>
      <c r="AI145" s="32"/>
      <c r="AJ145" s="32"/>
      <c r="AK145" s="53"/>
      <c r="AL145" s="21" t="str">
        <f>IFERROR(VLOOKUP(November[[#This Row],[Drug Name5]],'Data Options'!$R$1:$S$100,2,FALSE), " ")</f>
        <v xml:space="preserve"> </v>
      </c>
      <c r="AM145" s="32"/>
      <c r="AN145" s="32"/>
      <c r="AO145" s="53"/>
      <c r="AP145" s="21" t="str">
        <f>IFERROR(VLOOKUP(November[[#This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21" t="str">
        <f>IFERROR(VLOOKUP(November[[#This Row],[Drug Name7]],'Data Options'!$R$1:$S$100,2,FALSE), " ")</f>
        <v xml:space="preserve"> </v>
      </c>
      <c r="AZ145" s="32"/>
      <c r="BA145" s="32"/>
      <c r="BB145" s="53"/>
      <c r="BC145" s="21" t="str">
        <f>IFERROR(VLOOKUP(November[[#This Row],[Drug Name8]],'Data Options'!$R$1:$S$100,2,FALSE), " ")</f>
        <v xml:space="preserve"> </v>
      </c>
      <c r="BD145" s="32"/>
      <c r="BE145" s="32"/>
      <c r="BF145" s="53"/>
      <c r="BG145" s="21" t="str">
        <f>IFERROR(VLOOKUP(November[[#This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21" t="str">
        <f>IFERROR(VLOOKUP(November[[#This Row],[Drug Name]],'Data Options'!$R$1:$S$100,2,FALSE), " ")</f>
        <v xml:space="preserve"> </v>
      </c>
      <c r="R146" s="32"/>
      <c r="S146" s="32"/>
      <c r="T146" s="53"/>
      <c r="U146" s="21" t="str">
        <f>IFERROR(VLOOKUP(November[[#This Row],[Drug Name2]],'Data Options'!$R$1:$S$100,2,FALSE), " ")</f>
        <v xml:space="preserve"> </v>
      </c>
      <c r="V146" s="32"/>
      <c r="W146" s="32"/>
      <c r="X146" s="53"/>
      <c r="Y146" s="21" t="str">
        <f>IFERROR(VLOOKUP(November[[#This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21" t="str">
        <f>IFERROR(VLOOKUP(November[[#This Row],[Drug Name4]],'Data Options'!$R$1:$S$100,2,FALSE), " ")</f>
        <v xml:space="preserve"> </v>
      </c>
      <c r="AI146" s="32"/>
      <c r="AJ146" s="32"/>
      <c r="AK146" s="53"/>
      <c r="AL146" s="21" t="str">
        <f>IFERROR(VLOOKUP(November[[#This Row],[Drug Name5]],'Data Options'!$R$1:$S$100,2,FALSE), " ")</f>
        <v xml:space="preserve"> </v>
      </c>
      <c r="AM146" s="32"/>
      <c r="AN146" s="32"/>
      <c r="AO146" s="53"/>
      <c r="AP146" s="21" t="str">
        <f>IFERROR(VLOOKUP(November[[#This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21" t="str">
        <f>IFERROR(VLOOKUP(November[[#This Row],[Drug Name7]],'Data Options'!$R$1:$S$100,2,FALSE), " ")</f>
        <v xml:space="preserve"> </v>
      </c>
      <c r="AZ146" s="32"/>
      <c r="BA146" s="32"/>
      <c r="BB146" s="53"/>
      <c r="BC146" s="21" t="str">
        <f>IFERROR(VLOOKUP(November[[#This Row],[Drug Name8]],'Data Options'!$R$1:$S$100,2,FALSE), " ")</f>
        <v xml:space="preserve"> </v>
      </c>
      <c r="BD146" s="32"/>
      <c r="BE146" s="32"/>
      <c r="BF146" s="53"/>
      <c r="BG146" s="21" t="str">
        <f>IFERROR(VLOOKUP(November[[#This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21" t="str">
        <f>IFERROR(VLOOKUP(November[[#This Row],[Drug Name]],'Data Options'!$R$1:$S$100,2,FALSE), " ")</f>
        <v xml:space="preserve"> </v>
      </c>
      <c r="R147" s="32"/>
      <c r="S147" s="32"/>
      <c r="T147" s="53"/>
      <c r="U147" s="21" t="str">
        <f>IFERROR(VLOOKUP(November[[#This Row],[Drug Name2]],'Data Options'!$R$1:$S$100,2,FALSE), " ")</f>
        <v xml:space="preserve"> </v>
      </c>
      <c r="V147" s="32"/>
      <c r="W147" s="32"/>
      <c r="X147" s="53"/>
      <c r="Y147" s="21" t="str">
        <f>IFERROR(VLOOKUP(November[[#This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21" t="str">
        <f>IFERROR(VLOOKUP(November[[#This Row],[Drug Name4]],'Data Options'!$R$1:$S$100,2,FALSE), " ")</f>
        <v xml:space="preserve"> </v>
      </c>
      <c r="AI147" s="32"/>
      <c r="AJ147" s="32"/>
      <c r="AK147" s="53"/>
      <c r="AL147" s="21" t="str">
        <f>IFERROR(VLOOKUP(November[[#This Row],[Drug Name5]],'Data Options'!$R$1:$S$100,2,FALSE), " ")</f>
        <v xml:space="preserve"> </v>
      </c>
      <c r="AM147" s="32"/>
      <c r="AN147" s="32"/>
      <c r="AO147" s="53"/>
      <c r="AP147" s="21" t="str">
        <f>IFERROR(VLOOKUP(November[[#This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21" t="str">
        <f>IFERROR(VLOOKUP(November[[#This Row],[Drug Name7]],'Data Options'!$R$1:$S$100,2,FALSE), " ")</f>
        <v xml:space="preserve"> </v>
      </c>
      <c r="AZ147" s="32"/>
      <c r="BA147" s="32"/>
      <c r="BB147" s="53"/>
      <c r="BC147" s="21" t="str">
        <f>IFERROR(VLOOKUP(November[[#This Row],[Drug Name8]],'Data Options'!$R$1:$S$100,2,FALSE), " ")</f>
        <v xml:space="preserve"> </v>
      </c>
      <c r="BD147" s="32"/>
      <c r="BE147" s="32"/>
      <c r="BF147" s="53"/>
      <c r="BG147" s="21" t="str">
        <f>IFERROR(VLOOKUP(November[[#This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21" t="str">
        <f>IFERROR(VLOOKUP(November[[#This Row],[Drug Name]],'Data Options'!$R$1:$S$100,2,FALSE), " ")</f>
        <v xml:space="preserve"> </v>
      </c>
      <c r="R148" s="32"/>
      <c r="S148" s="32"/>
      <c r="T148" s="53"/>
      <c r="U148" s="21" t="str">
        <f>IFERROR(VLOOKUP(November[[#This Row],[Drug Name2]],'Data Options'!$R$1:$S$100,2,FALSE), " ")</f>
        <v xml:space="preserve"> </v>
      </c>
      <c r="V148" s="32"/>
      <c r="W148" s="32"/>
      <c r="X148" s="53"/>
      <c r="Y148" s="21" t="str">
        <f>IFERROR(VLOOKUP(November[[#This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21" t="str">
        <f>IFERROR(VLOOKUP(November[[#This Row],[Drug Name4]],'Data Options'!$R$1:$S$100,2,FALSE), " ")</f>
        <v xml:space="preserve"> </v>
      </c>
      <c r="AI148" s="32"/>
      <c r="AJ148" s="32"/>
      <c r="AK148" s="53"/>
      <c r="AL148" s="21" t="str">
        <f>IFERROR(VLOOKUP(November[[#This Row],[Drug Name5]],'Data Options'!$R$1:$S$100,2,FALSE), " ")</f>
        <v xml:space="preserve"> </v>
      </c>
      <c r="AM148" s="32"/>
      <c r="AN148" s="32"/>
      <c r="AO148" s="53"/>
      <c r="AP148" s="21" t="str">
        <f>IFERROR(VLOOKUP(November[[#This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21" t="str">
        <f>IFERROR(VLOOKUP(November[[#This Row],[Drug Name7]],'Data Options'!$R$1:$S$100,2,FALSE), " ")</f>
        <v xml:space="preserve"> </v>
      </c>
      <c r="AZ148" s="32"/>
      <c r="BA148" s="32"/>
      <c r="BB148" s="53"/>
      <c r="BC148" s="21" t="str">
        <f>IFERROR(VLOOKUP(November[[#This Row],[Drug Name8]],'Data Options'!$R$1:$S$100,2,FALSE), " ")</f>
        <v xml:space="preserve"> </v>
      </c>
      <c r="BD148" s="32"/>
      <c r="BE148" s="32"/>
      <c r="BF148" s="53"/>
      <c r="BG148" s="21" t="str">
        <f>IFERROR(VLOOKUP(November[[#This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21" t="str">
        <f>IFERROR(VLOOKUP(November[[#This Row],[Drug Name]],'Data Options'!$R$1:$S$100,2,FALSE), " ")</f>
        <v xml:space="preserve"> </v>
      </c>
      <c r="R149" s="32"/>
      <c r="S149" s="32"/>
      <c r="T149" s="53"/>
      <c r="U149" s="21" t="str">
        <f>IFERROR(VLOOKUP(November[[#This Row],[Drug Name2]],'Data Options'!$R$1:$S$100,2,FALSE), " ")</f>
        <v xml:space="preserve"> </v>
      </c>
      <c r="V149" s="32"/>
      <c r="W149" s="32"/>
      <c r="X149" s="53"/>
      <c r="Y149" s="21" t="str">
        <f>IFERROR(VLOOKUP(November[[#This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21" t="str">
        <f>IFERROR(VLOOKUP(November[[#This Row],[Drug Name4]],'Data Options'!$R$1:$S$100,2,FALSE), " ")</f>
        <v xml:space="preserve"> </v>
      </c>
      <c r="AI149" s="32"/>
      <c r="AJ149" s="32"/>
      <c r="AK149" s="53"/>
      <c r="AL149" s="21" t="str">
        <f>IFERROR(VLOOKUP(November[[#This Row],[Drug Name5]],'Data Options'!$R$1:$S$100,2,FALSE), " ")</f>
        <v xml:space="preserve"> </v>
      </c>
      <c r="AM149" s="32"/>
      <c r="AN149" s="32"/>
      <c r="AO149" s="53"/>
      <c r="AP149" s="21" t="str">
        <f>IFERROR(VLOOKUP(November[[#This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21" t="str">
        <f>IFERROR(VLOOKUP(November[[#This Row],[Drug Name7]],'Data Options'!$R$1:$S$100,2,FALSE), " ")</f>
        <v xml:space="preserve"> </v>
      </c>
      <c r="AZ149" s="32"/>
      <c r="BA149" s="32"/>
      <c r="BB149" s="53"/>
      <c r="BC149" s="21" t="str">
        <f>IFERROR(VLOOKUP(November[[#This Row],[Drug Name8]],'Data Options'!$R$1:$S$100,2,FALSE), " ")</f>
        <v xml:space="preserve"> </v>
      </c>
      <c r="BD149" s="32"/>
      <c r="BE149" s="32"/>
      <c r="BF149" s="53"/>
      <c r="BG149" s="21" t="str">
        <f>IFERROR(VLOOKUP(November[[#This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21" t="str">
        <f>IFERROR(VLOOKUP(November[[#This Row],[Drug Name]],'Data Options'!$R$1:$S$100,2,FALSE), " ")</f>
        <v xml:space="preserve"> </v>
      </c>
      <c r="R150" s="32"/>
      <c r="S150" s="32"/>
      <c r="T150" s="53"/>
      <c r="U150" s="21" t="str">
        <f>IFERROR(VLOOKUP(November[[#This Row],[Drug Name2]],'Data Options'!$R$1:$S$100,2,FALSE), " ")</f>
        <v xml:space="preserve"> </v>
      </c>
      <c r="V150" s="32"/>
      <c r="W150" s="32"/>
      <c r="X150" s="53"/>
      <c r="Y150" s="21" t="str">
        <f>IFERROR(VLOOKUP(November[[#This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21" t="str">
        <f>IFERROR(VLOOKUP(November[[#This Row],[Drug Name4]],'Data Options'!$R$1:$S$100,2,FALSE), " ")</f>
        <v xml:space="preserve"> </v>
      </c>
      <c r="AI150" s="32"/>
      <c r="AJ150" s="32"/>
      <c r="AK150" s="53"/>
      <c r="AL150" s="21" t="str">
        <f>IFERROR(VLOOKUP(November[[#This Row],[Drug Name5]],'Data Options'!$R$1:$S$100,2,FALSE), " ")</f>
        <v xml:space="preserve"> </v>
      </c>
      <c r="AM150" s="32"/>
      <c r="AN150" s="32"/>
      <c r="AO150" s="53"/>
      <c r="AP150" s="21" t="str">
        <f>IFERROR(VLOOKUP(November[[#This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21" t="str">
        <f>IFERROR(VLOOKUP(November[[#This Row],[Drug Name7]],'Data Options'!$R$1:$S$100,2,FALSE), " ")</f>
        <v xml:space="preserve"> </v>
      </c>
      <c r="AZ150" s="32"/>
      <c r="BA150" s="32"/>
      <c r="BB150" s="53"/>
      <c r="BC150" s="21" t="str">
        <f>IFERROR(VLOOKUP(November[[#This Row],[Drug Name8]],'Data Options'!$R$1:$S$100,2,FALSE), " ")</f>
        <v xml:space="preserve"> </v>
      </c>
      <c r="BD150" s="32"/>
      <c r="BE150" s="32"/>
      <c r="BF150" s="53"/>
      <c r="BG150" s="21" t="str">
        <f>IFERROR(VLOOKUP(November[[#This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21" t="str">
        <f>IFERROR(VLOOKUP(November[[#This Row],[Drug Name]],'Data Options'!$R$1:$S$100,2,FALSE), " ")</f>
        <v xml:space="preserve"> </v>
      </c>
      <c r="R151" s="32"/>
      <c r="S151" s="32"/>
      <c r="T151" s="53"/>
      <c r="U151" s="21" t="str">
        <f>IFERROR(VLOOKUP(November[[#This Row],[Drug Name2]],'Data Options'!$R$1:$S$100,2,FALSE), " ")</f>
        <v xml:space="preserve"> </v>
      </c>
      <c r="V151" s="32"/>
      <c r="W151" s="32"/>
      <c r="X151" s="53"/>
      <c r="Y151" s="21" t="str">
        <f>IFERROR(VLOOKUP(November[[#This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21" t="str">
        <f>IFERROR(VLOOKUP(November[[#This Row],[Drug Name4]],'Data Options'!$R$1:$S$100,2,FALSE), " ")</f>
        <v xml:space="preserve"> </v>
      </c>
      <c r="AI151" s="32"/>
      <c r="AJ151" s="32"/>
      <c r="AK151" s="53"/>
      <c r="AL151" s="21" t="str">
        <f>IFERROR(VLOOKUP(November[[#This Row],[Drug Name5]],'Data Options'!$R$1:$S$100,2,FALSE), " ")</f>
        <v xml:space="preserve"> </v>
      </c>
      <c r="AM151" s="32"/>
      <c r="AN151" s="32"/>
      <c r="AO151" s="53"/>
      <c r="AP151" s="21" t="str">
        <f>IFERROR(VLOOKUP(November[[#This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21" t="str">
        <f>IFERROR(VLOOKUP(November[[#This Row],[Drug Name7]],'Data Options'!$R$1:$S$100,2,FALSE), " ")</f>
        <v xml:space="preserve"> </v>
      </c>
      <c r="AZ151" s="32"/>
      <c r="BA151" s="32"/>
      <c r="BB151" s="53"/>
      <c r="BC151" s="21" t="str">
        <f>IFERROR(VLOOKUP(November[[#This Row],[Drug Name8]],'Data Options'!$R$1:$S$100,2,FALSE), " ")</f>
        <v xml:space="preserve"> </v>
      </c>
      <c r="BD151" s="32"/>
      <c r="BE151" s="32"/>
      <c r="BF151" s="53"/>
      <c r="BG151" s="21" t="str">
        <f>IFERROR(VLOOKUP(November[[#This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21" t="str">
        <f>IFERROR(VLOOKUP(November[[#This Row],[Drug Name]],'Data Options'!$R$1:$S$100,2,FALSE), " ")</f>
        <v xml:space="preserve"> </v>
      </c>
      <c r="R152" s="32"/>
      <c r="S152" s="32"/>
      <c r="T152" s="53"/>
      <c r="U152" s="21" t="str">
        <f>IFERROR(VLOOKUP(November[[#This Row],[Drug Name2]],'Data Options'!$R$1:$S$100,2,FALSE), " ")</f>
        <v xml:space="preserve"> </v>
      </c>
      <c r="V152" s="32"/>
      <c r="W152" s="32"/>
      <c r="X152" s="53"/>
      <c r="Y152" s="21" t="str">
        <f>IFERROR(VLOOKUP(November[[#This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21" t="str">
        <f>IFERROR(VLOOKUP(November[[#This Row],[Drug Name4]],'Data Options'!$R$1:$S$100,2,FALSE), " ")</f>
        <v xml:space="preserve"> </v>
      </c>
      <c r="AI152" s="32"/>
      <c r="AJ152" s="32"/>
      <c r="AK152" s="53"/>
      <c r="AL152" s="21" t="str">
        <f>IFERROR(VLOOKUP(November[[#This Row],[Drug Name5]],'Data Options'!$R$1:$S$100,2,FALSE), " ")</f>
        <v xml:space="preserve"> </v>
      </c>
      <c r="AM152" s="32"/>
      <c r="AN152" s="32"/>
      <c r="AO152" s="53"/>
      <c r="AP152" s="21" t="str">
        <f>IFERROR(VLOOKUP(November[[#This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21" t="str">
        <f>IFERROR(VLOOKUP(November[[#This Row],[Drug Name7]],'Data Options'!$R$1:$S$100,2,FALSE), " ")</f>
        <v xml:space="preserve"> </v>
      </c>
      <c r="AZ152" s="32"/>
      <c r="BA152" s="32"/>
      <c r="BB152" s="53"/>
      <c r="BC152" s="21" t="str">
        <f>IFERROR(VLOOKUP(November[[#This Row],[Drug Name8]],'Data Options'!$R$1:$S$100,2,FALSE), " ")</f>
        <v xml:space="preserve"> </v>
      </c>
      <c r="BD152" s="32"/>
      <c r="BE152" s="32"/>
      <c r="BF152" s="53"/>
      <c r="BG152" s="21" t="str">
        <f>IFERROR(VLOOKUP(November[[#This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21" t="str">
        <f>IFERROR(VLOOKUP(November[[#This Row],[Drug Name]],'Data Options'!$R$1:$S$100,2,FALSE), " ")</f>
        <v xml:space="preserve"> </v>
      </c>
      <c r="R153" s="32"/>
      <c r="S153" s="32"/>
      <c r="T153" s="53"/>
      <c r="U153" s="21" t="str">
        <f>IFERROR(VLOOKUP(November[[#This Row],[Drug Name2]],'Data Options'!$R$1:$S$100,2,FALSE), " ")</f>
        <v xml:space="preserve"> </v>
      </c>
      <c r="V153" s="32"/>
      <c r="W153" s="32"/>
      <c r="X153" s="53"/>
      <c r="Y153" s="21" t="str">
        <f>IFERROR(VLOOKUP(November[[#This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21" t="str">
        <f>IFERROR(VLOOKUP(November[[#This Row],[Drug Name4]],'Data Options'!$R$1:$S$100,2,FALSE), " ")</f>
        <v xml:space="preserve"> </v>
      </c>
      <c r="AI153" s="32"/>
      <c r="AJ153" s="32"/>
      <c r="AK153" s="53"/>
      <c r="AL153" s="21" t="str">
        <f>IFERROR(VLOOKUP(November[[#This Row],[Drug Name5]],'Data Options'!$R$1:$S$100,2,FALSE), " ")</f>
        <v xml:space="preserve"> </v>
      </c>
      <c r="AM153" s="32"/>
      <c r="AN153" s="32"/>
      <c r="AO153" s="53"/>
      <c r="AP153" s="21" t="str">
        <f>IFERROR(VLOOKUP(November[[#This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21" t="str">
        <f>IFERROR(VLOOKUP(November[[#This Row],[Drug Name7]],'Data Options'!$R$1:$S$100,2,FALSE), " ")</f>
        <v xml:space="preserve"> </v>
      </c>
      <c r="AZ153" s="32"/>
      <c r="BA153" s="32"/>
      <c r="BB153" s="53"/>
      <c r="BC153" s="21" t="str">
        <f>IFERROR(VLOOKUP(November[[#This Row],[Drug Name8]],'Data Options'!$R$1:$S$100,2,FALSE), " ")</f>
        <v xml:space="preserve"> </v>
      </c>
      <c r="BD153" s="32"/>
      <c r="BE153" s="32"/>
      <c r="BF153" s="53"/>
      <c r="BG153" s="21" t="str">
        <f>IFERROR(VLOOKUP(November[[#This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21" t="str">
        <f>IFERROR(VLOOKUP(November[[#This Row],[Drug Name]],'Data Options'!$R$1:$S$100,2,FALSE), " ")</f>
        <v xml:space="preserve"> </v>
      </c>
      <c r="R154" s="32"/>
      <c r="S154" s="32"/>
      <c r="T154" s="53"/>
      <c r="U154" s="21" t="str">
        <f>IFERROR(VLOOKUP(November[[#This Row],[Drug Name2]],'Data Options'!$R$1:$S$100,2,FALSE), " ")</f>
        <v xml:space="preserve"> </v>
      </c>
      <c r="V154" s="32"/>
      <c r="W154" s="32"/>
      <c r="X154" s="53"/>
      <c r="Y154" s="21" t="str">
        <f>IFERROR(VLOOKUP(November[[#This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21" t="str">
        <f>IFERROR(VLOOKUP(November[[#This Row],[Drug Name4]],'Data Options'!$R$1:$S$100,2,FALSE), " ")</f>
        <v xml:space="preserve"> </v>
      </c>
      <c r="AI154" s="32"/>
      <c r="AJ154" s="32"/>
      <c r="AK154" s="53"/>
      <c r="AL154" s="21" t="str">
        <f>IFERROR(VLOOKUP(November[[#This Row],[Drug Name5]],'Data Options'!$R$1:$S$100,2,FALSE), " ")</f>
        <v xml:space="preserve"> </v>
      </c>
      <c r="AM154" s="32"/>
      <c r="AN154" s="32"/>
      <c r="AO154" s="53"/>
      <c r="AP154" s="21" t="str">
        <f>IFERROR(VLOOKUP(November[[#This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21" t="str">
        <f>IFERROR(VLOOKUP(November[[#This Row],[Drug Name7]],'Data Options'!$R$1:$S$100,2,FALSE), " ")</f>
        <v xml:space="preserve"> </v>
      </c>
      <c r="AZ154" s="32"/>
      <c r="BA154" s="32"/>
      <c r="BB154" s="53"/>
      <c r="BC154" s="21" t="str">
        <f>IFERROR(VLOOKUP(November[[#This Row],[Drug Name8]],'Data Options'!$R$1:$S$100,2,FALSE), " ")</f>
        <v xml:space="preserve"> </v>
      </c>
      <c r="BD154" s="32"/>
      <c r="BE154" s="32"/>
      <c r="BF154" s="53"/>
      <c r="BG154" s="21" t="str">
        <f>IFERROR(VLOOKUP(November[[#This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21" t="str">
        <f>IFERROR(VLOOKUP(November[[#This Row],[Drug Name]],'Data Options'!$R$1:$S$100,2,FALSE), " ")</f>
        <v xml:space="preserve"> </v>
      </c>
      <c r="R155" s="32"/>
      <c r="S155" s="32"/>
      <c r="T155" s="53"/>
      <c r="U155" s="21" t="str">
        <f>IFERROR(VLOOKUP(November[[#This Row],[Drug Name2]],'Data Options'!$R$1:$S$100,2,FALSE), " ")</f>
        <v xml:space="preserve"> </v>
      </c>
      <c r="V155" s="32"/>
      <c r="W155" s="32"/>
      <c r="X155" s="53"/>
      <c r="Y155" s="21" t="str">
        <f>IFERROR(VLOOKUP(November[[#This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21" t="str">
        <f>IFERROR(VLOOKUP(November[[#This Row],[Drug Name4]],'Data Options'!$R$1:$S$100,2,FALSE), " ")</f>
        <v xml:space="preserve"> </v>
      </c>
      <c r="AI155" s="32"/>
      <c r="AJ155" s="32"/>
      <c r="AK155" s="53"/>
      <c r="AL155" s="21" t="str">
        <f>IFERROR(VLOOKUP(November[[#This Row],[Drug Name5]],'Data Options'!$R$1:$S$100,2,FALSE), " ")</f>
        <v xml:space="preserve"> </v>
      </c>
      <c r="AM155" s="32"/>
      <c r="AN155" s="32"/>
      <c r="AO155" s="53"/>
      <c r="AP155" s="21" t="str">
        <f>IFERROR(VLOOKUP(November[[#This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21" t="str">
        <f>IFERROR(VLOOKUP(November[[#This Row],[Drug Name7]],'Data Options'!$R$1:$S$100,2,FALSE), " ")</f>
        <v xml:space="preserve"> </v>
      </c>
      <c r="AZ155" s="32"/>
      <c r="BA155" s="32"/>
      <c r="BB155" s="53"/>
      <c r="BC155" s="21" t="str">
        <f>IFERROR(VLOOKUP(November[[#This Row],[Drug Name8]],'Data Options'!$R$1:$S$100,2,FALSE), " ")</f>
        <v xml:space="preserve"> </v>
      </c>
      <c r="BD155" s="32"/>
      <c r="BE155" s="32"/>
      <c r="BF155" s="53"/>
      <c r="BG155" s="21" t="str">
        <f>IFERROR(VLOOKUP(November[[#This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21" t="str">
        <f>IFERROR(VLOOKUP(November[[#This Row],[Drug Name]],'Data Options'!$R$1:$S$100,2,FALSE), " ")</f>
        <v xml:space="preserve"> </v>
      </c>
      <c r="R156" s="32"/>
      <c r="S156" s="32"/>
      <c r="T156" s="53"/>
      <c r="U156" s="21" t="str">
        <f>IFERROR(VLOOKUP(November[[#This Row],[Drug Name2]],'Data Options'!$R$1:$S$100,2,FALSE), " ")</f>
        <v xml:space="preserve"> </v>
      </c>
      <c r="V156" s="32"/>
      <c r="W156" s="32"/>
      <c r="X156" s="53"/>
      <c r="Y156" s="21" t="str">
        <f>IFERROR(VLOOKUP(November[[#This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21" t="str">
        <f>IFERROR(VLOOKUP(November[[#This Row],[Drug Name4]],'Data Options'!$R$1:$S$100,2,FALSE), " ")</f>
        <v xml:space="preserve"> </v>
      </c>
      <c r="AI156" s="32"/>
      <c r="AJ156" s="32"/>
      <c r="AK156" s="53"/>
      <c r="AL156" s="21" t="str">
        <f>IFERROR(VLOOKUP(November[[#This Row],[Drug Name5]],'Data Options'!$R$1:$S$100,2,FALSE), " ")</f>
        <v xml:space="preserve"> </v>
      </c>
      <c r="AM156" s="32"/>
      <c r="AN156" s="32"/>
      <c r="AO156" s="53"/>
      <c r="AP156" s="21" t="str">
        <f>IFERROR(VLOOKUP(November[[#This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21" t="str">
        <f>IFERROR(VLOOKUP(November[[#This Row],[Drug Name7]],'Data Options'!$R$1:$S$100,2,FALSE), " ")</f>
        <v xml:space="preserve"> </v>
      </c>
      <c r="AZ156" s="32"/>
      <c r="BA156" s="32"/>
      <c r="BB156" s="53"/>
      <c r="BC156" s="21" t="str">
        <f>IFERROR(VLOOKUP(November[[#This Row],[Drug Name8]],'Data Options'!$R$1:$S$100,2,FALSE), " ")</f>
        <v xml:space="preserve"> </v>
      </c>
      <c r="BD156" s="32"/>
      <c r="BE156" s="32"/>
      <c r="BF156" s="53"/>
      <c r="BG156" s="21" t="str">
        <f>IFERROR(VLOOKUP(November[[#This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21" t="str">
        <f>IFERROR(VLOOKUP(November[[#This Row],[Drug Name]],'Data Options'!$R$1:$S$100,2,FALSE), " ")</f>
        <v xml:space="preserve"> </v>
      </c>
      <c r="R157" s="32"/>
      <c r="S157" s="32"/>
      <c r="T157" s="53"/>
      <c r="U157" s="21" t="str">
        <f>IFERROR(VLOOKUP(November[[#This Row],[Drug Name2]],'Data Options'!$R$1:$S$100,2,FALSE), " ")</f>
        <v xml:space="preserve"> </v>
      </c>
      <c r="V157" s="32"/>
      <c r="W157" s="32"/>
      <c r="X157" s="53"/>
      <c r="Y157" s="21" t="str">
        <f>IFERROR(VLOOKUP(November[[#This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21" t="str">
        <f>IFERROR(VLOOKUP(November[[#This Row],[Drug Name4]],'Data Options'!$R$1:$S$100,2,FALSE), " ")</f>
        <v xml:space="preserve"> </v>
      </c>
      <c r="AI157" s="32"/>
      <c r="AJ157" s="32"/>
      <c r="AK157" s="53"/>
      <c r="AL157" s="21" t="str">
        <f>IFERROR(VLOOKUP(November[[#This Row],[Drug Name5]],'Data Options'!$R$1:$S$100,2,FALSE), " ")</f>
        <v xml:space="preserve"> </v>
      </c>
      <c r="AM157" s="32"/>
      <c r="AN157" s="32"/>
      <c r="AO157" s="53"/>
      <c r="AP157" s="21" t="str">
        <f>IFERROR(VLOOKUP(November[[#This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21" t="str">
        <f>IFERROR(VLOOKUP(November[[#This Row],[Drug Name7]],'Data Options'!$R$1:$S$100,2,FALSE), " ")</f>
        <v xml:space="preserve"> </v>
      </c>
      <c r="AZ157" s="32"/>
      <c r="BA157" s="32"/>
      <c r="BB157" s="53"/>
      <c r="BC157" s="21" t="str">
        <f>IFERROR(VLOOKUP(November[[#This Row],[Drug Name8]],'Data Options'!$R$1:$S$100,2,FALSE), " ")</f>
        <v xml:space="preserve"> </v>
      </c>
      <c r="BD157" s="32"/>
      <c r="BE157" s="32"/>
      <c r="BF157" s="53"/>
      <c r="BG157" s="21" t="str">
        <f>IFERROR(VLOOKUP(November[[#This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21" t="str">
        <f>IFERROR(VLOOKUP(November[[#This Row],[Drug Name]],'Data Options'!$R$1:$S$100,2,FALSE), " ")</f>
        <v xml:space="preserve"> </v>
      </c>
      <c r="R158" s="32"/>
      <c r="S158" s="32"/>
      <c r="T158" s="53"/>
      <c r="U158" s="21" t="str">
        <f>IFERROR(VLOOKUP(November[[#This Row],[Drug Name2]],'Data Options'!$R$1:$S$100,2,FALSE), " ")</f>
        <v xml:space="preserve"> </v>
      </c>
      <c r="V158" s="32"/>
      <c r="W158" s="32"/>
      <c r="X158" s="53"/>
      <c r="Y158" s="21" t="str">
        <f>IFERROR(VLOOKUP(November[[#This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21" t="str">
        <f>IFERROR(VLOOKUP(November[[#This Row],[Drug Name4]],'Data Options'!$R$1:$S$100,2,FALSE), " ")</f>
        <v xml:space="preserve"> </v>
      </c>
      <c r="AI158" s="32"/>
      <c r="AJ158" s="32"/>
      <c r="AK158" s="53"/>
      <c r="AL158" s="21" t="str">
        <f>IFERROR(VLOOKUP(November[[#This Row],[Drug Name5]],'Data Options'!$R$1:$S$100,2,FALSE), " ")</f>
        <v xml:space="preserve"> </v>
      </c>
      <c r="AM158" s="32"/>
      <c r="AN158" s="32"/>
      <c r="AO158" s="53"/>
      <c r="AP158" s="21" t="str">
        <f>IFERROR(VLOOKUP(November[[#This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21" t="str">
        <f>IFERROR(VLOOKUP(November[[#This Row],[Drug Name7]],'Data Options'!$R$1:$S$100,2,FALSE), " ")</f>
        <v xml:space="preserve"> </v>
      </c>
      <c r="AZ158" s="32"/>
      <c r="BA158" s="32"/>
      <c r="BB158" s="53"/>
      <c r="BC158" s="21" t="str">
        <f>IFERROR(VLOOKUP(November[[#This Row],[Drug Name8]],'Data Options'!$R$1:$S$100,2,FALSE), " ")</f>
        <v xml:space="preserve"> </v>
      </c>
      <c r="BD158" s="32"/>
      <c r="BE158" s="32"/>
      <c r="BF158" s="53"/>
      <c r="BG158" s="21" t="str">
        <f>IFERROR(VLOOKUP(November[[#This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21" t="str">
        <f>IFERROR(VLOOKUP(November[[#This Row],[Drug Name]],'Data Options'!$R$1:$S$100,2,FALSE), " ")</f>
        <v xml:space="preserve"> </v>
      </c>
      <c r="R159" s="32"/>
      <c r="S159" s="32"/>
      <c r="T159" s="53"/>
      <c r="U159" s="21" t="str">
        <f>IFERROR(VLOOKUP(November[[#This Row],[Drug Name2]],'Data Options'!$R$1:$S$100,2,FALSE), " ")</f>
        <v xml:space="preserve"> </v>
      </c>
      <c r="V159" s="32"/>
      <c r="W159" s="32"/>
      <c r="X159" s="53"/>
      <c r="Y159" s="21" t="str">
        <f>IFERROR(VLOOKUP(November[[#This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21" t="str">
        <f>IFERROR(VLOOKUP(November[[#This Row],[Drug Name4]],'Data Options'!$R$1:$S$100,2,FALSE), " ")</f>
        <v xml:space="preserve"> </v>
      </c>
      <c r="AI159" s="32"/>
      <c r="AJ159" s="32"/>
      <c r="AK159" s="53"/>
      <c r="AL159" s="21" t="str">
        <f>IFERROR(VLOOKUP(November[[#This Row],[Drug Name5]],'Data Options'!$R$1:$S$100,2,FALSE), " ")</f>
        <v xml:space="preserve"> </v>
      </c>
      <c r="AM159" s="32"/>
      <c r="AN159" s="32"/>
      <c r="AO159" s="53"/>
      <c r="AP159" s="21" t="str">
        <f>IFERROR(VLOOKUP(November[[#This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21" t="str">
        <f>IFERROR(VLOOKUP(November[[#This Row],[Drug Name7]],'Data Options'!$R$1:$S$100,2,FALSE), " ")</f>
        <v xml:space="preserve"> </v>
      </c>
      <c r="AZ159" s="32"/>
      <c r="BA159" s="32"/>
      <c r="BB159" s="53"/>
      <c r="BC159" s="21" t="str">
        <f>IFERROR(VLOOKUP(November[[#This Row],[Drug Name8]],'Data Options'!$R$1:$S$100,2,FALSE), " ")</f>
        <v xml:space="preserve"> </v>
      </c>
      <c r="BD159" s="32"/>
      <c r="BE159" s="32"/>
      <c r="BF159" s="53"/>
      <c r="BG159" s="21" t="str">
        <f>IFERROR(VLOOKUP(November[[#This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21" t="str">
        <f>IFERROR(VLOOKUP(November[[#This Row],[Drug Name]],'Data Options'!$R$1:$S$100,2,FALSE), " ")</f>
        <v xml:space="preserve"> </v>
      </c>
      <c r="R160" s="32"/>
      <c r="S160" s="32"/>
      <c r="T160" s="53"/>
      <c r="U160" s="21" t="str">
        <f>IFERROR(VLOOKUP(November[[#This Row],[Drug Name2]],'Data Options'!$R$1:$S$100,2,FALSE), " ")</f>
        <v xml:space="preserve"> </v>
      </c>
      <c r="V160" s="32"/>
      <c r="W160" s="32"/>
      <c r="X160" s="53"/>
      <c r="Y160" s="21" t="str">
        <f>IFERROR(VLOOKUP(November[[#This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21" t="str">
        <f>IFERROR(VLOOKUP(November[[#This Row],[Drug Name4]],'Data Options'!$R$1:$S$100,2,FALSE), " ")</f>
        <v xml:space="preserve"> </v>
      </c>
      <c r="AI160" s="32"/>
      <c r="AJ160" s="32"/>
      <c r="AK160" s="53"/>
      <c r="AL160" s="21" t="str">
        <f>IFERROR(VLOOKUP(November[[#This Row],[Drug Name5]],'Data Options'!$R$1:$S$100,2,FALSE), " ")</f>
        <v xml:space="preserve"> </v>
      </c>
      <c r="AM160" s="32"/>
      <c r="AN160" s="32"/>
      <c r="AO160" s="53"/>
      <c r="AP160" s="21" t="str">
        <f>IFERROR(VLOOKUP(November[[#This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21" t="str">
        <f>IFERROR(VLOOKUP(November[[#This Row],[Drug Name7]],'Data Options'!$R$1:$S$100,2,FALSE), " ")</f>
        <v xml:space="preserve"> </v>
      </c>
      <c r="AZ160" s="32"/>
      <c r="BA160" s="32"/>
      <c r="BB160" s="53"/>
      <c r="BC160" s="21" t="str">
        <f>IFERROR(VLOOKUP(November[[#This Row],[Drug Name8]],'Data Options'!$R$1:$S$100,2,FALSE), " ")</f>
        <v xml:space="preserve"> </v>
      </c>
      <c r="BD160" s="32"/>
      <c r="BE160" s="32"/>
      <c r="BF160" s="53"/>
      <c r="BG160" s="21" t="str">
        <f>IFERROR(VLOOKUP(November[[#This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21" t="str">
        <f>IFERROR(VLOOKUP(November[[#This Row],[Drug Name]],'Data Options'!$R$1:$S$100,2,FALSE), " ")</f>
        <v xml:space="preserve"> </v>
      </c>
      <c r="R161" s="32"/>
      <c r="S161" s="32"/>
      <c r="T161" s="53"/>
      <c r="U161" s="21" t="str">
        <f>IFERROR(VLOOKUP(November[[#This Row],[Drug Name2]],'Data Options'!$R$1:$S$100,2,FALSE), " ")</f>
        <v xml:space="preserve"> </v>
      </c>
      <c r="V161" s="32"/>
      <c r="W161" s="32"/>
      <c r="X161" s="53"/>
      <c r="Y161" s="21" t="str">
        <f>IFERROR(VLOOKUP(November[[#This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21" t="str">
        <f>IFERROR(VLOOKUP(November[[#This Row],[Drug Name4]],'Data Options'!$R$1:$S$100,2,FALSE), " ")</f>
        <v xml:space="preserve"> </v>
      </c>
      <c r="AI161" s="32"/>
      <c r="AJ161" s="32"/>
      <c r="AK161" s="53"/>
      <c r="AL161" s="21" t="str">
        <f>IFERROR(VLOOKUP(November[[#This Row],[Drug Name5]],'Data Options'!$R$1:$S$100,2,FALSE), " ")</f>
        <v xml:space="preserve"> </v>
      </c>
      <c r="AM161" s="32"/>
      <c r="AN161" s="32"/>
      <c r="AO161" s="53"/>
      <c r="AP161" s="21" t="str">
        <f>IFERROR(VLOOKUP(November[[#This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21" t="str">
        <f>IFERROR(VLOOKUP(November[[#This Row],[Drug Name7]],'Data Options'!$R$1:$S$100,2,FALSE), " ")</f>
        <v xml:space="preserve"> </v>
      </c>
      <c r="AZ161" s="32"/>
      <c r="BA161" s="32"/>
      <c r="BB161" s="53"/>
      <c r="BC161" s="21" t="str">
        <f>IFERROR(VLOOKUP(November[[#This Row],[Drug Name8]],'Data Options'!$R$1:$S$100,2,FALSE), " ")</f>
        <v xml:space="preserve"> </v>
      </c>
      <c r="BD161" s="32"/>
      <c r="BE161" s="32"/>
      <c r="BF161" s="53"/>
      <c r="BG161" s="21" t="str">
        <f>IFERROR(VLOOKUP(November[[#This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21" t="str">
        <f>IFERROR(VLOOKUP(November[[#This Row],[Drug Name]],'Data Options'!$R$1:$S$100,2,FALSE), " ")</f>
        <v xml:space="preserve"> </v>
      </c>
      <c r="R162" s="32"/>
      <c r="S162" s="32"/>
      <c r="T162" s="53"/>
      <c r="U162" s="21" t="str">
        <f>IFERROR(VLOOKUP(November[[#This Row],[Drug Name2]],'Data Options'!$R$1:$S$100,2,FALSE), " ")</f>
        <v xml:space="preserve"> </v>
      </c>
      <c r="V162" s="32"/>
      <c r="W162" s="32"/>
      <c r="X162" s="53"/>
      <c r="Y162" s="21" t="str">
        <f>IFERROR(VLOOKUP(November[[#This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21" t="str">
        <f>IFERROR(VLOOKUP(November[[#This Row],[Drug Name4]],'Data Options'!$R$1:$S$100,2,FALSE), " ")</f>
        <v xml:space="preserve"> </v>
      </c>
      <c r="AI162" s="32"/>
      <c r="AJ162" s="32"/>
      <c r="AK162" s="53"/>
      <c r="AL162" s="21" t="str">
        <f>IFERROR(VLOOKUP(November[[#This Row],[Drug Name5]],'Data Options'!$R$1:$S$100,2,FALSE), " ")</f>
        <v xml:space="preserve"> </v>
      </c>
      <c r="AM162" s="32"/>
      <c r="AN162" s="32"/>
      <c r="AO162" s="53"/>
      <c r="AP162" s="21" t="str">
        <f>IFERROR(VLOOKUP(November[[#This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21" t="str">
        <f>IFERROR(VLOOKUP(November[[#This Row],[Drug Name7]],'Data Options'!$R$1:$S$100,2,FALSE), " ")</f>
        <v xml:space="preserve"> </v>
      </c>
      <c r="AZ162" s="32"/>
      <c r="BA162" s="32"/>
      <c r="BB162" s="53"/>
      <c r="BC162" s="21" t="str">
        <f>IFERROR(VLOOKUP(November[[#This Row],[Drug Name8]],'Data Options'!$R$1:$S$100,2,FALSE), " ")</f>
        <v xml:space="preserve"> </v>
      </c>
      <c r="BD162" s="32"/>
      <c r="BE162" s="32"/>
      <c r="BF162" s="53"/>
      <c r="BG162" s="21" t="str">
        <f>IFERROR(VLOOKUP(November[[#This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21" t="str">
        <f>IFERROR(VLOOKUP(November[[#This Row],[Drug Name]],'Data Options'!$R$1:$S$100,2,FALSE), " ")</f>
        <v xml:space="preserve"> </v>
      </c>
      <c r="R163" s="32"/>
      <c r="S163" s="32"/>
      <c r="T163" s="53"/>
      <c r="U163" s="21" t="str">
        <f>IFERROR(VLOOKUP(November[[#This Row],[Drug Name2]],'Data Options'!$R$1:$S$100,2,FALSE), " ")</f>
        <v xml:space="preserve"> </v>
      </c>
      <c r="V163" s="32"/>
      <c r="W163" s="32"/>
      <c r="X163" s="53"/>
      <c r="Y163" s="21" t="str">
        <f>IFERROR(VLOOKUP(November[[#This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21" t="str">
        <f>IFERROR(VLOOKUP(November[[#This Row],[Drug Name4]],'Data Options'!$R$1:$S$100,2,FALSE), " ")</f>
        <v xml:space="preserve"> </v>
      </c>
      <c r="AI163" s="32"/>
      <c r="AJ163" s="32"/>
      <c r="AK163" s="53"/>
      <c r="AL163" s="21" t="str">
        <f>IFERROR(VLOOKUP(November[[#This Row],[Drug Name5]],'Data Options'!$R$1:$S$100,2,FALSE), " ")</f>
        <v xml:space="preserve"> </v>
      </c>
      <c r="AM163" s="32"/>
      <c r="AN163" s="32"/>
      <c r="AO163" s="53"/>
      <c r="AP163" s="21" t="str">
        <f>IFERROR(VLOOKUP(November[[#This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21" t="str">
        <f>IFERROR(VLOOKUP(November[[#This Row],[Drug Name7]],'Data Options'!$R$1:$S$100,2,FALSE), " ")</f>
        <v xml:space="preserve"> </v>
      </c>
      <c r="AZ163" s="32"/>
      <c r="BA163" s="32"/>
      <c r="BB163" s="53"/>
      <c r="BC163" s="21" t="str">
        <f>IFERROR(VLOOKUP(November[[#This Row],[Drug Name8]],'Data Options'!$R$1:$S$100,2,FALSE), " ")</f>
        <v xml:space="preserve"> </v>
      </c>
      <c r="BD163" s="32"/>
      <c r="BE163" s="32"/>
      <c r="BF163" s="53"/>
      <c r="BG163" s="21" t="str">
        <f>IFERROR(VLOOKUP(November[[#This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21" t="str">
        <f>IFERROR(VLOOKUP(November[[#This Row],[Drug Name]],'Data Options'!$R$1:$S$100,2,FALSE), " ")</f>
        <v xml:space="preserve"> </v>
      </c>
      <c r="R164" s="32"/>
      <c r="S164" s="32"/>
      <c r="T164" s="53"/>
      <c r="U164" s="21" t="str">
        <f>IFERROR(VLOOKUP(November[[#This Row],[Drug Name2]],'Data Options'!$R$1:$S$100,2,FALSE), " ")</f>
        <v xml:space="preserve"> </v>
      </c>
      <c r="V164" s="32"/>
      <c r="W164" s="32"/>
      <c r="X164" s="53"/>
      <c r="Y164" s="21" t="str">
        <f>IFERROR(VLOOKUP(November[[#This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21" t="str">
        <f>IFERROR(VLOOKUP(November[[#This Row],[Drug Name4]],'Data Options'!$R$1:$S$100,2,FALSE), " ")</f>
        <v xml:space="preserve"> </v>
      </c>
      <c r="AI164" s="32"/>
      <c r="AJ164" s="32"/>
      <c r="AK164" s="53"/>
      <c r="AL164" s="21" t="str">
        <f>IFERROR(VLOOKUP(November[[#This Row],[Drug Name5]],'Data Options'!$R$1:$S$100,2,FALSE), " ")</f>
        <v xml:space="preserve"> </v>
      </c>
      <c r="AM164" s="32"/>
      <c r="AN164" s="32"/>
      <c r="AO164" s="53"/>
      <c r="AP164" s="21" t="str">
        <f>IFERROR(VLOOKUP(November[[#This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21" t="str">
        <f>IFERROR(VLOOKUP(November[[#This Row],[Drug Name7]],'Data Options'!$R$1:$S$100,2,FALSE), " ")</f>
        <v xml:space="preserve"> </v>
      </c>
      <c r="AZ164" s="32"/>
      <c r="BA164" s="32"/>
      <c r="BB164" s="53"/>
      <c r="BC164" s="21" t="str">
        <f>IFERROR(VLOOKUP(November[[#This Row],[Drug Name8]],'Data Options'!$R$1:$S$100,2,FALSE), " ")</f>
        <v xml:space="preserve"> </v>
      </c>
      <c r="BD164" s="32"/>
      <c r="BE164" s="32"/>
      <c r="BF164" s="53"/>
      <c r="BG164" s="21" t="str">
        <f>IFERROR(VLOOKUP(November[[#This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21" t="str">
        <f>IFERROR(VLOOKUP(November[[#This Row],[Drug Name]],'Data Options'!$R$1:$S$100,2,FALSE), " ")</f>
        <v xml:space="preserve"> </v>
      </c>
      <c r="R165" s="32"/>
      <c r="S165" s="32"/>
      <c r="T165" s="53"/>
      <c r="U165" s="21" t="str">
        <f>IFERROR(VLOOKUP(November[[#This Row],[Drug Name2]],'Data Options'!$R$1:$S$100,2,FALSE), " ")</f>
        <v xml:space="preserve"> </v>
      </c>
      <c r="V165" s="32"/>
      <c r="W165" s="32"/>
      <c r="X165" s="53"/>
      <c r="Y165" s="21" t="str">
        <f>IFERROR(VLOOKUP(November[[#This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21" t="str">
        <f>IFERROR(VLOOKUP(November[[#This Row],[Drug Name4]],'Data Options'!$R$1:$S$100,2,FALSE), " ")</f>
        <v xml:space="preserve"> </v>
      </c>
      <c r="AI165" s="32"/>
      <c r="AJ165" s="32"/>
      <c r="AK165" s="53"/>
      <c r="AL165" s="21" t="str">
        <f>IFERROR(VLOOKUP(November[[#This Row],[Drug Name5]],'Data Options'!$R$1:$S$100,2,FALSE), " ")</f>
        <v xml:space="preserve"> </v>
      </c>
      <c r="AM165" s="32"/>
      <c r="AN165" s="32"/>
      <c r="AO165" s="53"/>
      <c r="AP165" s="21" t="str">
        <f>IFERROR(VLOOKUP(November[[#This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21" t="str">
        <f>IFERROR(VLOOKUP(November[[#This Row],[Drug Name7]],'Data Options'!$R$1:$S$100,2,FALSE), " ")</f>
        <v xml:space="preserve"> </v>
      </c>
      <c r="AZ165" s="32"/>
      <c r="BA165" s="32"/>
      <c r="BB165" s="53"/>
      <c r="BC165" s="21" t="str">
        <f>IFERROR(VLOOKUP(November[[#This Row],[Drug Name8]],'Data Options'!$R$1:$S$100,2,FALSE), " ")</f>
        <v xml:space="preserve"> </v>
      </c>
      <c r="BD165" s="32"/>
      <c r="BE165" s="32"/>
      <c r="BF165" s="53"/>
      <c r="BG165" s="21" t="str">
        <f>IFERROR(VLOOKUP(November[[#This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21" t="str">
        <f>IFERROR(VLOOKUP(November[[#This Row],[Drug Name]],'Data Options'!$R$1:$S$100,2,FALSE), " ")</f>
        <v xml:space="preserve"> </v>
      </c>
      <c r="R166" s="32"/>
      <c r="S166" s="32"/>
      <c r="T166" s="53"/>
      <c r="U166" s="21" t="str">
        <f>IFERROR(VLOOKUP(November[[#This Row],[Drug Name2]],'Data Options'!$R$1:$S$100,2,FALSE), " ")</f>
        <v xml:space="preserve"> </v>
      </c>
      <c r="V166" s="32"/>
      <c r="W166" s="32"/>
      <c r="X166" s="53"/>
      <c r="Y166" s="21" t="str">
        <f>IFERROR(VLOOKUP(November[[#This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21" t="str">
        <f>IFERROR(VLOOKUP(November[[#This Row],[Drug Name4]],'Data Options'!$R$1:$S$100,2,FALSE), " ")</f>
        <v xml:space="preserve"> </v>
      </c>
      <c r="AI166" s="32"/>
      <c r="AJ166" s="32"/>
      <c r="AK166" s="53"/>
      <c r="AL166" s="21" t="str">
        <f>IFERROR(VLOOKUP(November[[#This Row],[Drug Name5]],'Data Options'!$R$1:$S$100,2,FALSE), " ")</f>
        <v xml:space="preserve"> </v>
      </c>
      <c r="AM166" s="32"/>
      <c r="AN166" s="32"/>
      <c r="AO166" s="53"/>
      <c r="AP166" s="21" t="str">
        <f>IFERROR(VLOOKUP(November[[#This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21" t="str">
        <f>IFERROR(VLOOKUP(November[[#This Row],[Drug Name7]],'Data Options'!$R$1:$S$100,2,FALSE), " ")</f>
        <v xml:space="preserve"> </v>
      </c>
      <c r="AZ166" s="32"/>
      <c r="BA166" s="32"/>
      <c r="BB166" s="53"/>
      <c r="BC166" s="21" t="str">
        <f>IFERROR(VLOOKUP(November[[#This Row],[Drug Name8]],'Data Options'!$R$1:$S$100,2,FALSE), " ")</f>
        <v xml:space="preserve"> </v>
      </c>
      <c r="BD166" s="32"/>
      <c r="BE166" s="32"/>
      <c r="BF166" s="53"/>
      <c r="BG166" s="21" t="str">
        <f>IFERROR(VLOOKUP(November[[#This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21" t="str">
        <f>IFERROR(VLOOKUP(November[[#This Row],[Drug Name]],'Data Options'!$R$1:$S$100,2,FALSE), " ")</f>
        <v xml:space="preserve"> </v>
      </c>
      <c r="R167" s="32"/>
      <c r="S167" s="32"/>
      <c r="T167" s="53"/>
      <c r="U167" s="21" t="str">
        <f>IFERROR(VLOOKUP(November[[#This Row],[Drug Name2]],'Data Options'!$R$1:$S$100,2,FALSE), " ")</f>
        <v xml:space="preserve"> </v>
      </c>
      <c r="V167" s="32"/>
      <c r="W167" s="32"/>
      <c r="X167" s="53"/>
      <c r="Y167" s="21" t="str">
        <f>IFERROR(VLOOKUP(November[[#This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21" t="str">
        <f>IFERROR(VLOOKUP(November[[#This Row],[Drug Name4]],'Data Options'!$R$1:$S$100,2,FALSE), " ")</f>
        <v xml:space="preserve"> </v>
      </c>
      <c r="AI167" s="32"/>
      <c r="AJ167" s="32"/>
      <c r="AK167" s="53"/>
      <c r="AL167" s="21" t="str">
        <f>IFERROR(VLOOKUP(November[[#This Row],[Drug Name5]],'Data Options'!$R$1:$S$100,2,FALSE), " ")</f>
        <v xml:space="preserve"> </v>
      </c>
      <c r="AM167" s="32"/>
      <c r="AN167" s="32"/>
      <c r="AO167" s="53"/>
      <c r="AP167" s="21" t="str">
        <f>IFERROR(VLOOKUP(November[[#This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21" t="str">
        <f>IFERROR(VLOOKUP(November[[#This Row],[Drug Name7]],'Data Options'!$R$1:$S$100,2,FALSE), " ")</f>
        <v xml:space="preserve"> </v>
      </c>
      <c r="AZ167" s="32"/>
      <c r="BA167" s="32"/>
      <c r="BB167" s="53"/>
      <c r="BC167" s="21" t="str">
        <f>IFERROR(VLOOKUP(November[[#This Row],[Drug Name8]],'Data Options'!$R$1:$S$100,2,FALSE), " ")</f>
        <v xml:space="preserve"> </v>
      </c>
      <c r="BD167" s="32"/>
      <c r="BE167" s="32"/>
      <c r="BF167" s="53"/>
      <c r="BG167" s="21" t="str">
        <f>IFERROR(VLOOKUP(November[[#This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21" t="str">
        <f>IFERROR(VLOOKUP(November[[#This Row],[Drug Name]],'Data Options'!$R$1:$S$100,2,FALSE), " ")</f>
        <v xml:space="preserve"> </v>
      </c>
      <c r="R168" s="32"/>
      <c r="S168" s="32"/>
      <c r="T168" s="53"/>
      <c r="U168" s="21" t="str">
        <f>IFERROR(VLOOKUP(November[[#This Row],[Drug Name2]],'Data Options'!$R$1:$S$100,2,FALSE), " ")</f>
        <v xml:space="preserve"> </v>
      </c>
      <c r="V168" s="32"/>
      <c r="W168" s="32"/>
      <c r="X168" s="53"/>
      <c r="Y168" s="21" t="str">
        <f>IFERROR(VLOOKUP(November[[#This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21" t="str">
        <f>IFERROR(VLOOKUP(November[[#This Row],[Drug Name4]],'Data Options'!$R$1:$S$100,2,FALSE), " ")</f>
        <v xml:space="preserve"> </v>
      </c>
      <c r="AI168" s="32"/>
      <c r="AJ168" s="32"/>
      <c r="AK168" s="53"/>
      <c r="AL168" s="21" t="str">
        <f>IFERROR(VLOOKUP(November[[#This Row],[Drug Name5]],'Data Options'!$R$1:$S$100,2,FALSE), " ")</f>
        <v xml:space="preserve"> </v>
      </c>
      <c r="AM168" s="32"/>
      <c r="AN168" s="32"/>
      <c r="AO168" s="53"/>
      <c r="AP168" s="21" t="str">
        <f>IFERROR(VLOOKUP(November[[#This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21" t="str">
        <f>IFERROR(VLOOKUP(November[[#This Row],[Drug Name7]],'Data Options'!$R$1:$S$100,2,FALSE), " ")</f>
        <v xml:space="preserve"> </v>
      </c>
      <c r="AZ168" s="32"/>
      <c r="BA168" s="32"/>
      <c r="BB168" s="53"/>
      <c r="BC168" s="21" t="str">
        <f>IFERROR(VLOOKUP(November[[#This Row],[Drug Name8]],'Data Options'!$R$1:$S$100,2,FALSE), " ")</f>
        <v xml:space="preserve"> </v>
      </c>
      <c r="BD168" s="32"/>
      <c r="BE168" s="32"/>
      <c r="BF168" s="53"/>
      <c r="BG168" s="21" t="str">
        <f>IFERROR(VLOOKUP(November[[#This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21" t="str">
        <f>IFERROR(VLOOKUP(November[[#This Row],[Drug Name]],'Data Options'!$R$1:$S$100,2,FALSE), " ")</f>
        <v xml:space="preserve"> </v>
      </c>
      <c r="R169" s="32"/>
      <c r="S169" s="32"/>
      <c r="T169" s="53"/>
      <c r="U169" s="21" t="str">
        <f>IFERROR(VLOOKUP(November[[#This Row],[Drug Name2]],'Data Options'!$R$1:$S$100,2,FALSE), " ")</f>
        <v xml:space="preserve"> </v>
      </c>
      <c r="V169" s="32"/>
      <c r="W169" s="32"/>
      <c r="X169" s="53"/>
      <c r="Y169" s="21" t="str">
        <f>IFERROR(VLOOKUP(November[[#This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21" t="str">
        <f>IFERROR(VLOOKUP(November[[#This Row],[Drug Name4]],'Data Options'!$R$1:$S$100,2,FALSE), " ")</f>
        <v xml:space="preserve"> </v>
      </c>
      <c r="AI169" s="32"/>
      <c r="AJ169" s="32"/>
      <c r="AK169" s="53"/>
      <c r="AL169" s="21" t="str">
        <f>IFERROR(VLOOKUP(November[[#This Row],[Drug Name5]],'Data Options'!$R$1:$S$100,2,FALSE), " ")</f>
        <v xml:space="preserve"> </v>
      </c>
      <c r="AM169" s="32"/>
      <c r="AN169" s="32"/>
      <c r="AO169" s="53"/>
      <c r="AP169" s="21" t="str">
        <f>IFERROR(VLOOKUP(November[[#This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21" t="str">
        <f>IFERROR(VLOOKUP(November[[#This Row],[Drug Name7]],'Data Options'!$R$1:$S$100,2,FALSE), " ")</f>
        <v xml:space="preserve"> </v>
      </c>
      <c r="AZ169" s="32"/>
      <c r="BA169" s="32"/>
      <c r="BB169" s="53"/>
      <c r="BC169" s="21" t="str">
        <f>IFERROR(VLOOKUP(November[[#This Row],[Drug Name8]],'Data Options'!$R$1:$S$100,2,FALSE), " ")</f>
        <v xml:space="preserve"> </v>
      </c>
      <c r="BD169" s="32"/>
      <c r="BE169" s="32"/>
      <c r="BF169" s="53"/>
      <c r="BG169" s="21" t="str">
        <f>IFERROR(VLOOKUP(November[[#This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21" t="str">
        <f>IFERROR(VLOOKUP(November[[#This Row],[Drug Name]],'Data Options'!$R$1:$S$100,2,FALSE), " ")</f>
        <v xml:space="preserve"> </v>
      </c>
      <c r="R170" s="32"/>
      <c r="S170" s="32"/>
      <c r="T170" s="53"/>
      <c r="U170" s="21" t="str">
        <f>IFERROR(VLOOKUP(November[[#This Row],[Drug Name2]],'Data Options'!$R$1:$S$100,2,FALSE), " ")</f>
        <v xml:space="preserve"> </v>
      </c>
      <c r="V170" s="32"/>
      <c r="W170" s="32"/>
      <c r="X170" s="53"/>
      <c r="Y170" s="21" t="str">
        <f>IFERROR(VLOOKUP(November[[#This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21" t="str">
        <f>IFERROR(VLOOKUP(November[[#This Row],[Drug Name4]],'Data Options'!$R$1:$S$100,2,FALSE), " ")</f>
        <v xml:space="preserve"> </v>
      </c>
      <c r="AI170" s="32"/>
      <c r="AJ170" s="32"/>
      <c r="AK170" s="53"/>
      <c r="AL170" s="21" t="str">
        <f>IFERROR(VLOOKUP(November[[#This Row],[Drug Name5]],'Data Options'!$R$1:$S$100,2,FALSE), " ")</f>
        <v xml:space="preserve"> </v>
      </c>
      <c r="AM170" s="32"/>
      <c r="AN170" s="32"/>
      <c r="AO170" s="53"/>
      <c r="AP170" s="21" t="str">
        <f>IFERROR(VLOOKUP(November[[#This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21" t="str">
        <f>IFERROR(VLOOKUP(November[[#This Row],[Drug Name7]],'Data Options'!$R$1:$S$100,2,FALSE), " ")</f>
        <v xml:space="preserve"> </v>
      </c>
      <c r="AZ170" s="32"/>
      <c r="BA170" s="32"/>
      <c r="BB170" s="53"/>
      <c r="BC170" s="21" t="str">
        <f>IFERROR(VLOOKUP(November[[#This Row],[Drug Name8]],'Data Options'!$R$1:$S$100,2,FALSE), " ")</f>
        <v xml:space="preserve"> </v>
      </c>
      <c r="BD170" s="32"/>
      <c r="BE170" s="32"/>
      <c r="BF170" s="53"/>
      <c r="BG170" s="21" t="str">
        <f>IFERROR(VLOOKUP(November[[#This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21" t="str">
        <f>IFERROR(VLOOKUP(November[[#This Row],[Drug Name]],'Data Options'!$R$1:$S$100,2,FALSE), " ")</f>
        <v xml:space="preserve"> </v>
      </c>
      <c r="R171" s="32"/>
      <c r="S171" s="32"/>
      <c r="T171" s="53"/>
      <c r="U171" s="21" t="str">
        <f>IFERROR(VLOOKUP(November[[#This Row],[Drug Name2]],'Data Options'!$R$1:$S$100,2,FALSE), " ")</f>
        <v xml:space="preserve"> </v>
      </c>
      <c r="V171" s="32"/>
      <c r="W171" s="32"/>
      <c r="X171" s="53"/>
      <c r="Y171" s="21" t="str">
        <f>IFERROR(VLOOKUP(November[[#This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21" t="str">
        <f>IFERROR(VLOOKUP(November[[#This Row],[Drug Name4]],'Data Options'!$R$1:$S$100,2,FALSE), " ")</f>
        <v xml:space="preserve"> </v>
      </c>
      <c r="AI171" s="32"/>
      <c r="AJ171" s="32"/>
      <c r="AK171" s="53"/>
      <c r="AL171" s="21" t="str">
        <f>IFERROR(VLOOKUP(November[[#This Row],[Drug Name5]],'Data Options'!$R$1:$S$100,2,FALSE), " ")</f>
        <v xml:space="preserve"> </v>
      </c>
      <c r="AM171" s="32"/>
      <c r="AN171" s="32"/>
      <c r="AO171" s="53"/>
      <c r="AP171" s="21" t="str">
        <f>IFERROR(VLOOKUP(November[[#This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21" t="str">
        <f>IFERROR(VLOOKUP(November[[#This Row],[Drug Name7]],'Data Options'!$R$1:$S$100,2,FALSE), " ")</f>
        <v xml:space="preserve"> </v>
      </c>
      <c r="AZ171" s="32"/>
      <c r="BA171" s="32"/>
      <c r="BB171" s="53"/>
      <c r="BC171" s="21" t="str">
        <f>IFERROR(VLOOKUP(November[[#This Row],[Drug Name8]],'Data Options'!$R$1:$S$100,2,FALSE), " ")</f>
        <v xml:space="preserve"> </v>
      </c>
      <c r="BD171" s="32"/>
      <c r="BE171" s="32"/>
      <c r="BF171" s="53"/>
      <c r="BG171" s="21" t="str">
        <f>IFERROR(VLOOKUP(November[[#This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21" t="str">
        <f>IFERROR(VLOOKUP(November[[#This Row],[Drug Name]],'Data Options'!$R$1:$S$100,2,FALSE), " ")</f>
        <v xml:space="preserve"> </v>
      </c>
      <c r="R172" s="32"/>
      <c r="S172" s="32"/>
      <c r="T172" s="53"/>
      <c r="U172" s="21" t="str">
        <f>IFERROR(VLOOKUP(November[[#This Row],[Drug Name2]],'Data Options'!$R$1:$S$100,2,FALSE), " ")</f>
        <v xml:space="preserve"> </v>
      </c>
      <c r="V172" s="32"/>
      <c r="W172" s="32"/>
      <c r="X172" s="53"/>
      <c r="Y172" s="21" t="str">
        <f>IFERROR(VLOOKUP(November[[#This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21" t="str">
        <f>IFERROR(VLOOKUP(November[[#This Row],[Drug Name4]],'Data Options'!$R$1:$S$100,2,FALSE), " ")</f>
        <v xml:space="preserve"> </v>
      </c>
      <c r="AI172" s="32"/>
      <c r="AJ172" s="32"/>
      <c r="AK172" s="53"/>
      <c r="AL172" s="21" t="str">
        <f>IFERROR(VLOOKUP(November[[#This Row],[Drug Name5]],'Data Options'!$R$1:$S$100,2,FALSE), " ")</f>
        <v xml:space="preserve"> </v>
      </c>
      <c r="AM172" s="32"/>
      <c r="AN172" s="32"/>
      <c r="AO172" s="53"/>
      <c r="AP172" s="21" t="str">
        <f>IFERROR(VLOOKUP(November[[#This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21" t="str">
        <f>IFERROR(VLOOKUP(November[[#This Row],[Drug Name7]],'Data Options'!$R$1:$S$100,2,FALSE), " ")</f>
        <v xml:space="preserve"> </v>
      </c>
      <c r="AZ172" s="32"/>
      <c r="BA172" s="32"/>
      <c r="BB172" s="53"/>
      <c r="BC172" s="21" t="str">
        <f>IFERROR(VLOOKUP(November[[#This Row],[Drug Name8]],'Data Options'!$R$1:$S$100,2,FALSE), " ")</f>
        <v xml:space="preserve"> </v>
      </c>
      <c r="BD172" s="32"/>
      <c r="BE172" s="32"/>
      <c r="BF172" s="53"/>
      <c r="BG172" s="21" t="str">
        <f>IFERROR(VLOOKUP(November[[#This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21" t="str">
        <f>IFERROR(VLOOKUP(November[[#This Row],[Drug Name]],'Data Options'!$R$1:$S$100,2,FALSE), " ")</f>
        <v xml:space="preserve"> </v>
      </c>
      <c r="R173" s="32"/>
      <c r="S173" s="32"/>
      <c r="T173" s="53"/>
      <c r="U173" s="21" t="str">
        <f>IFERROR(VLOOKUP(November[[#This Row],[Drug Name2]],'Data Options'!$R$1:$S$100,2,FALSE), " ")</f>
        <v xml:space="preserve"> </v>
      </c>
      <c r="V173" s="32"/>
      <c r="W173" s="32"/>
      <c r="X173" s="53"/>
      <c r="Y173" s="21" t="str">
        <f>IFERROR(VLOOKUP(November[[#This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21" t="str">
        <f>IFERROR(VLOOKUP(November[[#This Row],[Drug Name4]],'Data Options'!$R$1:$S$100,2,FALSE), " ")</f>
        <v xml:space="preserve"> </v>
      </c>
      <c r="AI173" s="32"/>
      <c r="AJ173" s="32"/>
      <c r="AK173" s="53"/>
      <c r="AL173" s="21" t="str">
        <f>IFERROR(VLOOKUP(November[[#This Row],[Drug Name5]],'Data Options'!$R$1:$S$100,2,FALSE), " ")</f>
        <v xml:space="preserve"> </v>
      </c>
      <c r="AM173" s="32"/>
      <c r="AN173" s="32"/>
      <c r="AO173" s="53"/>
      <c r="AP173" s="21" t="str">
        <f>IFERROR(VLOOKUP(November[[#This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21" t="str">
        <f>IFERROR(VLOOKUP(November[[#This Row],[Drug Name7]],'Data Options'!$R$1:$S$100,2,FALSE), " ")</f>
        <v xml:space="preserve"> </v>
      </c>
      <c r="AZ173" s="32"/>
      <c r="BA173" s="32"/>
      <c r="BB173" s="53"/>
      <c r="BC173" s="21" t="str">
        <f>IFERROR(VLOOKUP(November[[#This Row],[Drug Name8]],'Data Options'!$R$1:$S$100,2,FALSE), " ")</f>
        <v xml:space="preserve"> </v>
      </c>
      <c r="BD173" s="32"/>
      <c r="BE173" s="32"/>
      <c r="BF173" s="53"/>
      <c r="BG173" s="21" t="str">
        <f>IFERROR(VLOOKUP(November[[#This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21" t="str">
        <f>IFERROR(VLOOKUP(November[[#This Row],[Drug Name]],'Data Options'!$R$1:$S$100,2,FALSE), " ")</f>
        <v xml:space="preserve"> </v>
      </c>
      <c r="R174" s="32"/>
      <c r="S174" s="32"/>
      <c r="T174" s="53"/>
      <c r="U174" s="21" t="str">
        <f>IFERROR(VLOOKUP(November[[#This Row],[Drug Name2]],'Data Options'!$R$1:$S$100,2,FALSE), " ")</f>
        <v xml:space="preserve"> </v>
      </c>
      <c r="V174" s="32"/>
      <c r="W174" s="32"/>
      <c r="X174" s="53"/>
      <c r="Y174" s="21" t="str">
        <f>IFERROR(VLOOKUP(November[[#This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21" t="str">
        <f>IFERROR(VLOOKUP(November[[#This Row],[Drug Name4]],'Data Options'!$R$1:$S$100,2,FALSE), " ")</f>
        <v xml:space="preserve"> </v>
      </c>
      <c r="AI174" s="32"/>
      <c r="AJ174" s="32"/>
      <c r="AK174" s="53"/>
      <c r="AL174" s="21" t="str">
        <f>IFERROR(VLOOKUP(November[[#This Row],[Drug Name5]],'Data Options'!$R$1:$S$100,2,FALSE), " ")</f>
        <v xml:space="preserve"> </v>
      </c>
      <c r="AM174" s="32"/>
      <c r="AN174" s="32"/>
      <c r="AO174" s="53"/>
      <c r="AP174" s="21" t="str">
        <f>IFERROR(VLOOKUP(November[[#This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21" t="str">
        <f>IFERROR(VLOOKUP(November[[#This Row],[Drug Name7]],'Data Options'!$R$1:$S$100,2,FALSE), " ")</f>
        <v xml:space="preserve"> </v>
      </c>
      <c r="AZ174" s="32"/>
      <c r="BA174" s="32"/>
      <c r="BB174" s="53"/>
      <c r="BC174" s="21" t="str">
        <f>IFERROR(VLOOKUP(November[[#This Row],[Drug Name8]],'Data Options'!$R$1:$S$100,2,FALSE), " ")</f>
        <v xml:space="preserve"> </v>
      </c>
      <c r="BD174" s="32"/>
      <c r="BE174" s="32"/>
      <c r="BF174" s="53"/>
      <c r="BG174" s="21" t="str">
        <f>IFERROR(VLOOKUP(November[[#This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21" t="str">
        <f>IFERROR(VLOOKUP(November[[#This Row],[Drug Name]],'Data Options'!$R$1:$S$100,2,FALSE), " ")</f>
        <v xml:space="preserve"> </v>
      </c>
      <c r="R175" s="32"/>
      <c r="S175" s="32"/>
      <c r="T175" s="53"/>
      <c r="U175" s="21" t="str">
        <f>IFERROR(VLOOKUP(November[[#This Row],[Drug Name2]],'Data Options'!$R$1:$S$100,2,FALSE), " ")</f>
        <v xml:space="preserve"> </v>
      </c>
      <c r="V175" s="32"/>
      <c r="W175" s="32"/>
      <c r="X175" s="53"/>
      <c r="Y175" s="21" t="str">
        <f>IFERROR(VLOOKUP(November[[#This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21" t="str">
        <f>IFERROR(VLOOKUP(November[[#This Row],[Drug Name4]],'Data Options'!$R$1:$S$100,2,FALSE), " ")</f>
        <v xml:space="preserve"> </v>
      </c>
      <c r="AI175" s="32"/>
      <c r="AJ175" s="32"/>
      <c r="AK175" s="53"/>
      <c r="AL175" s="21" t="str">
        <f>IFERROR(VLOOKUP(November[[#This Row],[Drug Name5]],'Data Options'!$R$1:$S$100,2,FALSE), " ")</f>
        <v xml:space="preserve"> </v>
      </c>
      <c r="AM175" s="32"/>
      <c r="AN175" s="32"/>
      <c r="AO175" s="53"/>
      <c r="AP175" s="21" t="str">
        <f>IFERROR(VLOOKUP(November[[#This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21" t="str">
        <f>IFERROR(VLOOKUP(November[[#This Row],[Drug Name7]],'Data Options'!$R$1:$S$100,2,FALSE), " ")</f>
        <v xml:space="preserve"> </v>
      </c>
      <c r="AZ175" s="32"/>
      <c r="BA175" s="32"/>
      <c r="BB175" s="53"/>
      <c r="BC175" s="21" t="str">
        <f>IFERROR(VLOOKUP(November[[#This Row],[Drug Name8]],'Data Options'!$R$1:$S$100,2,FALSE), " ")</f>
        <v xml:space="preserve"> </v>
      </c>
      <c r="BD175" s="32"/>
      <c r="BE175" s="32"/>
      <c r="BF175" s="53"/>
      <c r="BG175" s="21" t="str">
        <f>IFERROR(VLOOKUP(November[[#This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21" t="str">
        <f>IFERROR(VLOOKUP(November[[#This Row],[Drug Name]],'Data Options'!$R$1:$S$100,2,FALSE), " ")</f>
        <v xml:space="preserve"> </v>
      </c>
      <c r="R176" s="32"/>
      <c r="S176" s="32"/>
      <c r="T176" s="53"/>
      <c r="U176" s="21" t="str">
        <f>IFERROR(VLOOKUP(November[[#This Row],[Drug Name2]],'Data Options'!$R$1:$S$100,2,FALSE), " ")</f>
        <v xml:space="preserve"> </v>
      </c>
      <c r="V176" s="32"/>
      <c r="W176" s="32"/>
      <c r="X176" s="53"/>
      <c r="Y176" s="21" t="str">
        <f>IFERROR(VLOOKUP(November[[#This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21" t="str">
        <f>IFERROR(VLOOKUP(November[[#This Row],[Drug Name4]],'Data Options'!$R$1:$S$100,2,FALSE), " ")</f>
        <v xml:space="preserve"> </v>
      </c>
      <c r="AI176" s="32"/>
      <c r="AJ176" s="32"/>
      <c r="AK176" s="53"/>
      <c r="AL176" s="21" t="str">
        <f>IFERROR(VLOOKUP(November[[#This Row],[Drug Name5]],'Data Options'!$R$1:$S$100,2,FALSE), " ")</f>
        <v xml:space="preserve"> </v>
      </c>
      <c r="AM176" s="32"/>
      <c r="AN176" s="32"/>
      <c r="AO176" s="53"/>
      <c r="AP176" s="21" t="str">
        <f>IFERROR(VLOOKUP(November[[#This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21" t="str">
        <f>IFERROR(VLOOKUP(November[[#This Row],[Drug Name7]],'Data Options'!$R$1:$S$100,2,FALSE), " ")</f>
        <v xml:space="preserve"> </v>
      </c>
      <c r="AZ176" s="32"/>
      <c r="BA176" s="32"/>
      <c r="BB176" s="53"/>
      <c r="BC176" s="21" t="str">
        <f>IFERROR(VLOOKUP(November[[#This Row],[Drug Name8]],'Data Options'!$R$1:$S$100,2,FALSE), " ")</f>
        <v xml:space="preserve"> </v>
      </c>
      <c r="BD176" s="32"/>
      <c r="BE176" s="32"/>
      <c r="BF176" s="53"/>
      <c r="BG176" s="21" t="str">
        <f>IFERROR(VLOOKUP(November[[#This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21" t="str">
        <f>IFERROR(VLOOKUP(November[[#This Row],[Drug Name]],'Data Options'!$R$1:$S$100,2,FALSE), " ")</f>
        <v xml:space="preserve"> </v>
      </c>
      <c r="R177" s="32"/>
      <c r="S177" s="32"/>
      <c r="T177" s="53"/>
      <c r="U177" s="21" t="str">
        <f>IFERROR(VLOOKUP(November[[#This Row],[Drug Name2]],'Data Options'!$R$1:$S$100,2,FALSE), " ")</f>
        <v xml:space="preserve"> </v>
      </c>
      <c r="V177" s="32"/>
      <c r="W177" s="32"/>
      <c r="X177" s="53"/>
      <c r="Y177" s="21" t="str">
        <f>IFERROR(VLOOKUP(November[[#This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21" t="str">
        <f>IFERROR(VLOOKUP(November[[#This Row],[Drug Name4]],'Data Options'!$R$1:$S$100,2,FALSE), " ")</f>
        <v xml:space="preserve"> </v>
      </c>
      <c r="AI177" s="32"/>
      <c r="AJ177" s="32"/>
      <c r="AK177" s="53"/>
      <c r="AL177" s="21" t="str">
        <f>IFERROR(VLOOKUP(November[[#This Row],[Drug Name5]],'Data Options'!$R$1:$S$100,2,FALSE), " ")</f>
        <v xml:space="preserve"> </v>
      </c>
      <c r="AM177" s="32"/>
      <c r="AN177" s="32"/>
      <c r="AO177" s="53"/>
      <c r="AP177" s="21" t="str">
        <f>IFERROR(VLOOKUP(November[[#This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21" t="str">
        <f>IFERROR(VLOOKUP(November[[#This Row],[Drug Name7]],'Data Options'!$R$1:$S$100,2,FALSE), " ")</f>
        <v xml:space="preserve"> </v>
      </c>
      <c r="AZ177" s="32"/>
      <c r="BA177" s="32"/>
      <c r="BB177" s="53"/>
      <c r="BC177" s="21" t="str">
        <f>IFERROR(VLOOKUP(November[[#This Row],[Drug Name8]],'Data Options'!$R$1:$S$100,2,FALSE), " ")</f>
        <v xml:space="preserve"> </v>
      </c>
      <c r="BD177" s="32"/>
      <c r="BE177" s="32"/>
      <c r="BF177" s="53"/>
      <c r="BG177" s="21" t="str">
        <f>IFERROR(VLOOKUP(November[[#This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21" t="str">
        <f>IFERROR(VLOOKUP(November[[#This Row],[Drug Name]],'Data Options'!$R$1:$S$100,2,FALSE), " ")</f>
        <v xml:space="preserve"> </v>
      </c>
      <c r="R178" s="32"/>
      <c r="S178" s="32"/>
      <c r="T178" s="53"/>
      <c r="U178" s="21" t="str">
        <f>IFERROR(VLOOKUP(November[[#This Row],[Drug Name2]],'Data Options'!$R$1:$S$100,2,FALSE), " ")</f>
        <v xml:space="preserve"> </v>
      </c>
      <c r="V178" s="32"/>
      <c r="W178" s="32"/>
      <c r="X178" s="53"/>
      <c r="Y178" s="21" t="str">
        <f>IFERROR(VLOOKUP(November[[#This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21" t="str">
        <f>IFERROR(VLOOKUP(November[[#This Row],[Drug Name4]],'Data Options'!$R$1:$S$100,2,FALSE), " ")</f>
        <v xml:space="preserve"> </v>
      </c>
      <c r="AI178" s="32"/>
      <c r="AJ178" s="32"/>
      <c r="AK178" s="53"/>
      <c r="AL178" s="21" t="str">
        <f>IFERROR(VLOOKUP(November[[#This Row],[Drug Name5]],'Data Options'!$R$1:$S$100,2,FALSE), " ")</f>
        <v xml:space="preserve"> </v>
      </c>
      <c r="AM178" s="32"/>
      <c r="AN178" s="32"/>
      <c r="AO178" s="53"/>
      <c r="AP178" s="21" t="str">
        <f>IFERROR(VLOOKUP(November[[#This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21" t="str">
        <f>IFERROR(VLOOKUP(November[[#This Row],[Drug Name7]],'Data Options'!$R$1:$S$100,2,FALSE), " ")</f>
        <v xml:space="preserve"> </v>
      </c>
      <c r="AZ178" s="32"/>
      <c r="BA178" s="32"/>
      <c r="BB178" s="53"/>
      <c r="BC178" s="21" t="str">
        <f>IFERROR(VLOOKUP(November[[#This Row],[Drug Name8]],'Data Options'!$R$1:$S$100,2,FALSE), " ")</f>
        <v xml:space="preserve"> </v>
      </c>
      <c r="BD178" s="32"/>
      <c r="BE178" s="32"/>
      <c r="BF178" s="53"/>
      <c r="BG178" s="21" t="str">
        <f>IFERROR(VLOOKUP(November[[#This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21" t="str">
        <f>IFERROR(VLOOKUP(November[[#This Row],[Drug Name]],'Data Options'!$R$1:$S$100,2,FALSE), " ")</f>
        <v xml:space="preserve"> </v>
      </c>
      <c r="R179" s="32"/>
      <c r="S179" s="32"/>
      <c r="T179" s="53"/>
      <c r="U179" s="21" t="str">
        <f>IFERROR(VLOOKUP(November[[#This Row],[Drug Name2]],'Data Options'!$R$1:$S$100,2,FALSE), " ")</f>
        <v xml:space="preserve"> </v>
      </c>
      <c r="V179" s="32"/>
      <c r="W179" s="32"/>
      <c r="X179" s="53"/>
      <c r="Y179" s="21" t="str">
        <f>IFERROR(VLOOKUP(November[[#This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21" t="str">
        <f>IFERROR(VLOOKUP(November[[#This Row],[Drug Name4]],'Data Options'!$R$1:$S$100,2,FALSE), " ")</f>
        <v xml:space="preserve"> </v>
      </c>
      <c r="AI179" s="32"/>
      <c r="AJ179" s="32"/>
      <c r="AK179" s="53"/>
      <c r="AL179" s="21" t="str">
        <f>IFERROR(VLOOKUP(November[[#This Row],[Drug Name5]],'Data Options'!$R$1:$S$100,2,FALSE), " ")</f>
        <v xml:space="preserve"> </v>
      </c>
      <c r="AM179" s="32"/>
      <c r="AN179" s="32"/>
      <c r="AO179" s="53"/>
      <c r="AP179" s="21" t="str">
        <f>IFERROR(VLOOKUP(November[[#This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21" t="str">
        <f>IFERROR(VLOOKUP(November[[#This Row],[Drug Name7]],'Data Options'!$R$1:$S$100,2,FALSE), " ")</f>
        <v xml:space="preserve"> </v>
      </c>
      <c r="AZ179" s="32"/>
      <c r="BA179" s="32"/>
      <c r="BB179" s="53"/>
      <c r="BC179" s="21" t="str">
        <f>IFERROR(VLOOKUP(November[[#This Row],[Drug Name8]],'Data Options'!$R$1:$S$100,2,FALSE), " ")</f>
        <v xml:space="preserve"> </v>
      </c>
      <c r="BD179" s="32"/>
      <c r="BE179" s="32"/>
      <c r="BF179" s="53"/>
      <c r="BG179" s="21" t="str">
        <f>IFERROR(VLOOKUP(November[[#This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21" t="str">
        <f>IFERROR(VLOOKUP(November[[#This Row],[Drug Name]],'Data Options'!$R$1:$S$100,2,FALSE), " ")</f>
        <v xml:space="preserve"> </v>
      </c>
      <c r="R180" s="32"/>
      <c r="S180" s="32"/>
      <c r="T180" s="53"/>
      <c r="U180" s="21" t="str">
        <f>IFERROR(VLOOKUP(November[[#This Row],[Drug Name2]],'Data Options'!$R$1:$S$100,2,FALSE), " ")</f>
        <v xml:space="preserve"> </v>
      </c>
      <c r="V180" s="32"/>
      <c r="W180" s="32"/>
      <c r="X180" s="53"/>
      <c r="Y180" s="21" t="str">
        <f>IFERROR(VLOOKUP(November[[#This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21" t="str">
        <f>IFERROR(VLOOKUP(November[[#This Row],[Drug Name4]],'Data Options'!$R$1:$S$100,2,FALSE), " ")</f>
        <v xml:space="preserve"> </v>
      </c>
      <c r="AI180" s="32"/>
      <c r="AJ180" s="32"/>
      <c r="AK180" s="53"/>
      <c r="AL180" s="21" t="str">
        <f>IFERROR(VLOOKUP(November[[#This Row],[Drug Name5]],'Data Options'!$R$1:$S$100,2,FALSE), " ")</f>
        <v xml:space="preserve"> </v>
      </c>
      <c r="AM180" s="32"/>
      <c r="AN180" s="32"/>
      <c r="AO180" s="53"/>
      <c r="AP180" s="21" t="str">
        <f>IFERROR(VLOOKUP(November[[#This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21" t="str">
        <f>IFERROR(VLOOKUP(November[[#This Row],[Drug Name7]],'Data Options'!$R$1:$S$100,2,FALSE), " ")</f>
        <v xml:space="preserve"> </v>
      </c>
      <c r="AZ180" s="32"/>
      <c r="BA180" s="32"/>
      <c r="BB180" s="53"/>
      <c r="BC180" s="21" t="str">
        <f>IFERROR(VLOOKUP(November[[#This Row],[Drug Name8]],'Data Options'!$R$1:$S$100,2,FALSE), " ")</f>
        <v xml:space="preserve"> </v>
      </c>
      <c r="BD180" s="32"/>
      <c r="BE180" s="32"/>
      <c r="BF180" s="53"/>
      <c r="BG180" s="21" t="str">
        <f>IFERROR(VLOOKUP(November[[#This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21" t="str">
        <f>IFERROR(VLOOKUP(November[[#This Row],[Drug Name]],'Data Options'!$R$1:$S$100,2,FALSE), " ")</f>
        <v xml:space="preserve"> </v>
      </c>
      <c r="R181" s="32"/>
      <c r="S181" s="32"/>
      <c r="T181" s="53"/>
      <c r="U181" s="21" t="str">
        <f>IFERROR(VLOOKUP(November[[#This Row],[Drug Name2]],'Data Options'!$R$1:$S$100,2,FALSE), " ")</f>
        <v xml:space="preserve"> </v>
      </c>
      <c r="V181" s="32"/>
      <c r="W181" s="32"/>
      <c r="X181" s="53"/>
      <c r="Y181" s="21" t="str">
        <f>IFERROR(VLOOKUP(November[[#This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21" t="str">
        <f>IFERROR(VLOOKUP(November[[#This Row],[Drug Name4]],'Data Options'!$R$1:$S$100,2,FALSE), " ")</f>
        <v xml:space="preserve"> </v>
      </c>
      <c r="AI181" s="32"/>
      <c r="AJ181" s="32"/>
      <c r="AK181" s="53"/>
      <c r="AL181" s="21" t="str">
        <f>IFERROR(VLOOKUP(November[[#This Row],[Drug Name5]],'Data Options'!$R$1:$S$100,2,FALSE), " ")</f>
        <v xml:space="preserve"> </v>
      </c>
      <c r="AM181" s="32"/>
      <c r="AN181" s="32"/>
      <c r="AO181" s="53"/>
      <c r="AP181" s="21" t="str">
        <f>IFERROR(VLOOKUP(November[[#This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21" t="str">
        <f>IFERROR(VLOOKUP(November[[#This Row],[Drug Name7]],'Data Options'!$R$1:$S$100,2,FALSE), " ")</f>
        <v xml:space="preserve"> </v>
      </c>
      <c r="AZ181" s="32"/>
      <c r="BA181" s="32"/>
      <c r="BB181" s="53"/>
      <c r="BC181" s="21" t="str">
        <f>IFERROR(VLOOKUP(November[[#This Row],[Drug Name8]],'Data Options'!$R$1:$S$100,2,FALSE), " ")</f>
        <v xml:space="preserve"> </v>
      </c>
      <c r="BD181" s="32"/>
      <c r="BE181" s="32"/>
      <c r="BF181" s="53"/>
      <c r="BG181" s="21" t="str">
        <f>IFERROR(VLOOKUP(November[[#This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21" t="str">
        <f>IFERROR(VLOOKUP(November[[#This Row],[Drug Name]],'Data Options'!$R$1:$S$100,2,FALSE), " ")</f>
        <v xml:space="preserve"> </v>
      </c>
      <c r="R182" s="32"/>
      <c r="S182" s="32"/>
      <c r="T182" s="53"/>
      <c r="U182" s="21" t="str">
        <f>IFERROR(VLOOKUP(November[[#This Row],[Drug Name2]],'Data Options'!$R$1:$S$100,2,FALSE), " ")</f>
        <v xml:space="preserve"> </v>
      </c>
      <c r="V182" s="32"/>
      <c r="W182" s="32"/>
      <c r="X182" s="53"/>
      <c r="Y182" s="21" t="str">
        <f>IFERROR(VLOOKUP(November[[#This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21" t="str">
        <f>IFERROR(VLOOKUP(November[[#This Row],[Drug Name4]],'Data Options'!$R$1:$S$100,2,FALSE), " ")</f>
        <v xml:space="preserve"> </v>
      </c>
      <c r="AI182" s="32"/>
      <c r="AJ182" s="32"/>
      <c r="AK182" s="53"/>
      <c r="AL182" s="21" t="str">
        <f>IFERROR(VLOOKUP(November[[#This Row],[Drug Name5]],'Data Options'!$R$1:$S$100,2,FALSE), " ")</f>
        <v xml:space="preserve"> </v>
      </c>
      <c r="AM182" s="32"/>
      <c r="AN182" s="32"/>
      <c r="AO182" s="53"/>
      <c r="AP182" s="21" t="str">
        <f>IFERROR(VLOOKUP(November[[#This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21" t="str">
        <f>IFERROR(VLOOKUP(November[[#This Row],[Drug Name7]],'Data Options'!$R$1:$S$100,2,FALSE), " ")</f>
        <v xml:space="preserve"> </v>
      </c>
      <c r="AZ182" s="32"/>
      <c r="BA182" s="32"/>
      <c r="BB182" s="53"/>
      <c r="BC182" s="21" t="str">
        <f>IFERROR(VLOOKUP(November[[#This Row],[Drug Name8]],'Data Options'!$R$1:$S$100,2,FALSE), " ")</f>
        <v xml:space="preserve"> </v>
      </c>
      <c r="BD182" s="32"/>
      <c r="BE182" s="32"/>
      <c r="BF182" s="53"/>
      <c r="BG182" s="21" t="str">
        <f>IFERROR(VLOOKUP(November[[#This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21" t="str">
        <f>IFERROR(VLOOKUP(November[[#This Row],[Drug Name]],'Data Options'!$R$1:$S$100,2,FALSE), " ")</f>
        <v xml:space="preserve"> </v>
      </c>
      <c r="R183" s="32"/>
      <c r="S183" s="32"/>
      <c r="T183" s="53"/>
      <c r="U183" s="21" t="str">
        <f>IFERROR(VLOOKUP(November[[#This Row],[Drug Name2]],'Data Options'!$R$1:$S$100,2,FALSE), " ")</f>
        <v xml:space="preserve"> </v>
      </c>
      <c r="V183" s="32"/>
      <c r="W183" s="32"/>
      <c r="X183" s="53"/>
      <c r="Y183" s="21" t="str">
        <f>IFERROR(VLOOKUP(November[[#This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21" t="str">
        <f>IFERROR(VLOOKUP(November[[#This Row],[Drug Name4]],'Data Options'!$R$1:$S$100,2,FALSE), " ")</f>
        <v xml:space="preserve"> </v>
      </c>
      <c r="AI183" s="32"/>
      <c r="AJ183" s="32"/>
      <c r="AK183" s="53"/>
      <c r="AL183" s="21" t="str">
        <f>IFERROR(VLOOKUP(November[[#This Row],[Drug Name5]],'Data Options'!$R$1:$S$100,2,FALSE), " ")</f>
        <v xml:space="preserve"> </v>
      </c>
      <c r="AM183" s="32"/>
      <c r="AN183" s="32"/>
      <c r="AO183" s="53"/>
      <c r="AP183" s="21" t="str">
        <f>IFERROR(VLOOKUP(November[[#This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21" t="str">
        <f>IFERROR(VLOOKUP(November[[#This Row],[Drug Name7]],'Data Options'!$R$1:$S$100,2,FALSE), " ")</f>
        <v xml:space="preserve"> </v>
      </c>
      <c r="AZ183" s="32"/>
      <c r="BA183" s="32"/>
      <c r="BB183" s="53"/>
      <c r="BC183" s="21" t="str">
        <f>IFERROR(VLOOKUP(November[[#This Row],[Drug Name8]],'Data Options'!$R$1:$S$100,2,FALSE), " ")</f>
        <v xml:space="preserve"> </v>
      </c>
      <c r="BD183" s="32"/>
      <c r="BE183" s="32"/>
      <c r="BF183" s="53"/>
      <c r="BG183" s="21" t="str">
        <f>IFERROR(VLOOKUP(November[[#This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21" t="str">
        <f>IFERROR(VLOOKUP(November[[#This Row],[Drug Name]],'Data Options'!$R$1:$S$100,2,FALSE), " ")</f>
        <v xml:space="preserve"> </v>
      </c>
      <c r="R184" s="32"/>
      <c r="S184" s="32"/>
      <c r="T184" s="53"/>
      <c r="U184" s="21" t="str">
        <f>IFERROR(VLOOKUP(November[[#This Row],[Drug Name2]],'Data Options'!$R$1:$S$100,2,FALSE), " ")</f>
        <v xml:space="preserve"> </v>
      </c>
      <c r="V184" s="32"/>
      <c r="W184" s="32"/>
      <c r="X184" s="53"/>
      <c r="Y184" s="21" t="str">
        <f>IFERROR(VLOOKUP(November[[#This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21" t="str">
        <f>IFERROR(VLOOKUP(November[[#This Row],[Drug Name4]],'Data Options'!$R$1:$S$100,2,FALSE), " ")</f>
        <v xml:space="preserve"> </v>
      </c>
      <c r="AI184" s="32"/>
      <c r="AJ184" s="32"/>
      <c r="AK184" s="53"/>
      <c r="AL184" s="21" t="str">
        <f>IFERROR(VLOOKUP(November[[#This Row],[Drug Name5]],'Data Options'!$R$1:$S$100,2,FALSE), " ")</f>
        <v xml:space="preserve"> </v>
      </c>
      <c r="AM184" s="32"/>
      <c r="AN184" s="32"/>
      <c r="AO184" s="53"/>
      <c r="AP184" s="21" t="str">
        <f>IFERROR(VLOOKUP(November[[#This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21" t="str">
        <f>IFERROR(VLOOKUP(November[[#This Row],[Drug Name7]],'Data Options'!$R$1:$S$100,2,FALSE), " ")</f>
        <v xml:space="preserve"> </v>
      </c>
      <c r="AZ184" s="32"/>
      <c r="BA184" s="32"/>
      <c r="BB184" s="53"/>
      <c r="BC184" s="21" t="str">
        <f>IFERROR(VLOOKUP(November[[#This Row],[Drug Name8]],'Data Options'!$R$1:$S$100,2,FALSE), " ")</f>
        <v xml:space="preserve"> </v>
      </c>
      <c r="BD184" s="32"/>
      <c r="BE184" s="32"/>
      <c r="BF184" s="53"/>
      <c r="BG184" s="21" t="str">
        <f>IFERROR(VLOOKUP(November[[#This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21" t="str">
        <f>IFERROR(VLOOKUP(November[[#This Row],[Drug Name]],'Data Options'!$R$1:$S$100,2,FALSE), " ")</f>
        <v xml:space="preserve"> </v>
      </c>
      <c r="R185" s="32"/>
      <c r="S185" s="32"/>
      <c r="T185" s="53"/>
      <c r="U185" s="21" t="str">
        <f>IFERROR(VLOOKUP(November[[#This Row],[Drug Name2]],'Data Options'!$R$1:$S$100,2,FALSE), " ")</f>
        <v xml:space="preserve"> </v>
      </c>
      <c r="V185" s="32"/>
      <c r="W185" s="32"/>
      <c r="X185" s="53"/>
      <c r="Y185" s="21" t="str">
        <f>IFERROR(VLOOKUP(November[[#This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21" t="str">
        <f>IFERROR(VLOOKUP(November[[#This Row],[Drug Name4]],'Data Options'!$R$1:$S$100,2,FALSE), " ")</f>
        <v xml:space="preserve"> </v>
      </c>
      <c r="AI185" s="32"/>
      <c r="AJ185" s="32"/>
      <c r="AK185" s="53"/>
      <c r="AL185" s="21" t="str">
        <f>IFERROR(VLOOKUP(November[[#This Row],[Drug Name5]],'Data Options'!$R$1:$S$100,2,FALSE), " ")</f>
        <v xml:space="preserve"> </v>
      </c>
      <c r="AM185" s="32"/>
      <c r="AN185" s="32"/>
      <c r="AO185" s="53"/>
      <c r="AP185" s="21" t="str">
        <f>IFERROR(VLOOKUP(November[[#This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21" t="str">
        <f>IFERROR(VLOOKUP(November[[#This Row],[Drug Name7]],'Data Options'!$R$1:$S$100,2,FALSE), " ")</f>
        <v xml:space="preserve"> </v>
      </c>
      <c r="AZ185" s="32"/>
      <c r="BA185" s="32"/>
      <c r="BB185" s="53"/>
      <c r="BC185" s="21" t="str">
        <f>IFERROR(VLOOKUP(November[[#This Row],[Drug Name8]],'Data Options'!$R$1:$S$100,2,FALSE), " ")</f>
        <v xml:space="preserve"> </v>
      </c>
      <c r="BD185" s="32"/>
      <c r="BE185" s="32"/>
      <c r="BF185" s="53"/>
      <c r="BG185" s="21" t="str">
        <f>IFERROR(VLOOKUP(November[[#This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21" t="str">
        <f>IFERROR(VLOOKUP(November[[#This Row],[Drug Name]],'Data Options'!$R$1:$S$100,2,FALSE), " ")</f>
        <v xml:space="preserve"> </v>
      </c>
      <c r="R186" s="32"/>
      <c r="S186" s="32"/>
      <c r="T186" s="53"/>
      <c r="U186" s="21" t="str">
        <f>IFERROR(VLOOKUP(November[[#This Row],[Drug Name2]],'Data Options'!$R$1:$S$100,2,FALSE), " ")</f>
        <v xml:space="preserve"> </v>
      </c>
      <c r="V186" s="32"/>
      <c r="W186" s="32"/>
      <c r="X186" s="53"/>
      <c r="Y186" s="21" t="str">
        <f>IFERROR(VLOOKUP(November[[#This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21" t="str">
        <f>IFERROR(VLOOKUP(November[[#This Row],[Drug Name4]],'Data Options'!$R$1:$S$100,2,FALSE), " ")</f>
        <v xml:space="preserve"> </v>
      </c>
      <c r="AI186" s="32"/>
      <c r="AJ186" s="32"/>
      <c r="AK186" s="53"/>
      <c r="AL186" s="21" t="str">
        <f>IFERROR(VLOOKUP(November[[#This Row],[Drug Name5]],'Data Options'!$R$1:$S$100,2,FALSE), " ")</f>
        <v xml:space="preserve"> </v>
      </c>
      <c r="AM186" s="32"/>
      <c r="AN186" s="32"/>
      <c r="AO186" s="53"/>
      <c r="AP186" s="21" t="str">
        <f>IFERROR(VLOOKUP(November[[#This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21" t="str">
        <f>IFERROR(VLOOKUP(November[[#This Row],[Drug Name7]],'Data Options'!$R$1:$S$100,2,FALSE), " ")</f>
        <v xml:space="preserve"> </v>
      </c>
      <c r="AZ186" s="32"/>
      <c r="BA186" s="32"/>
      <c r="BB186" s="53"/>
      <c r="BC186" s="21" t="str">
        <f>IFERROR(VLOOKUP(November[[#This Row],[Drug Name8]],'Data Options'!$R$1:$S$100,2,FALSE), " ")</f>
        <v xml:space="preserve"> </v>
      </c>
      <c r="BD186" s="32"/>
      <c r="BE186" s="32"/>
      <c r="BF186" s="53"/>
      <c r="BG186" s="21" t="str">
        <f>IFERROR(VLOOKUP(November[[#This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21" t="str">
        <f>IFERROR(VLOOKUP(November[[#This Row],[Drug Name]],'Data Options'!$R$1:$S$100,2,FALSE), " ")</f>
        <v xml:space="preserve"> </v>
      </c>
      <c r="R187" s="32"/>
      <c r="S187" s="32"/>
      <c r="T187" s="53"/>
      <c r="U187" s="21" t="str">
        <f>IFERROR(VLOOKUP(November[[#This Row],[Drug Name2]],'Data Options'!$R$1:$S$100,2,FALSE), " ")</f>
        <v xml:space="preserve"> </v>
      </c>
      <c r="V187" s="32"/>
      <c r="W187" s="32"/>
      <c r="X187" s="53"/>
      <c r="Y187" s="21" t="str">
        <f>IFERROR(VLOOKUP(November[[#This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21" t="str">
        <f>IFERROR(VLOOKUP(November[[#This Row],[Drug Name4]],'Data Options'!$R$1:$S$100,2,FALSE), " ")</f>
        <v xml:space="preserve"> </v>
      </c>
      <c r="AI187" s="32"/>
      <c r="AJ187" s="32"/>
      <c r="AK187" s="53"/>
      <c r="AL187" s="21" t="str">
        <f>IFERROR(VLOOKUP(November[[#This Row],[Drug Name5]],'Data Options'!$R$1:$S$100,2,FALSE), " ")</f>
        <v xml:space="preserve"> </v>
      </c>
      <c r="AM187" s="32"/>
      <c r="AN187" s="32"/>
      <c r="AO187" s="53"/>
      <c r="AP187" s="21" t="str">
        <f>IFERROR(VLOOKUP(November[[#This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21" t="str">
        <f>IFERROR(VLOOKUP(November[[#This Row],[Drug Name7]],'Data Options'!$R$1:$S$100,2,FALSE), " ")</f>
        <v xml:space="preserve"> </v>
      </c>
      <c r="AZ187" s="32"/>
      <c r="BA187" s="32"/>
      <c r="BB187" s="53"/>
      <c r="BC187" s="21" t="str">
        <f>IFERROR(VLOOKUP(November[[#This Row],[Drug Name8]],'Data Options'!$R$1:$S$100,2,FALSE), " ")</f>
        <v xml:space="preserve"> </v>
      </c>
      <c r="BD187" s="32"/>
      <c r="BE187" s="32"/>
      <c r="BF187" s="53"/>
      <c r="BG187" s="21" t="str">
        <f>IFERROR(VLOOKUP(November[[#This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21" t="str">
        <f>IFERROR(VLOOKUP(November[[#This Row],[Drug Name]],'Data Options'!$R$1:$S$100,2,FALSE), " ")</f>
        <v xml:space="preserve"> </v>
      </c>
      <c r="R188" s="32"/>
      <c r="S188" s="32"/>
      <c r="T188" s="53"/>
      <c r="U188" s="21" t="str">
        <f>IFERROR(VLOOKUP(November[[#This Row],[Drug Name2]],'Data Options'!$R$1:$S$100,2,FALSE), " ")</f>
        <v xml:space="preserve"> </v>
      </c>
      <c r="V188" s="32"/>
      <c r="W188" s="32"/>
      <c r="X188" s="53"/>
      <c r="Y188" s="21" t="str">
        <f>IFERROR(VLOOKUP(November[[#This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21" t="str">
        <f>IFERROR(VLOOKUP(November[[#This Row],[Drug Name4]],'Data Options'!$R$1:$S$100,2,FALSE), " ")</f>
        <v xml:space="preserve"> </v>
      </c>
      <c r="AI188" s="32"/>
      <c r="AJ188" s="32"/>
      <c r="AK188" s="53"/>
      <c r="AL188" s="21" t="str">
        <f>IFERROR(VLOOKUP(November[[#This Row],[Drug Name5]],'Data Options'!$R$1:$S$100,2,FALSE), " ")</f>
        <v xml:space="preserve"> </v>
      </c>
      <c r="AM188" s="32"/>
      <c r="AN188" s="32"/>
      <c r="AO188" s="53"/>
      <c r="AP188" s="21" t="str">
        <f>IFERROR(VLOOKUP(November[[#This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21" t="str">
        <f>IFERROR(VLOOKUP(November[[#This Row],[Drug Name7]],'Data Options'!$R$1:$S$100,2,FALSE), " ")</f>
        <v xml:space="preserve"> </v>
      </c>
      <c r="AZ188" s="32"/>
      <c r="BA188" s="32"/>
      <c r="BB188" s="53"/>
      <c r="BC188" s="21" t="str">
        <f>IFERROR(VLOOKUP(November[[#This Row],[Drug Name8]],'Data Options'!$R$1:$S$100,2,FALSE), " ")</f>
        <v xml:space="preserve"> </v>
      </c>
      <c r="BD188" s="32"/>
      <c r="BE188" s="32"/>
      <c r="BF188" s="53"/>
      <c r="BG188" s="21" t="str">
        <f>IFERROR(VLOOKUP(November[[#This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21" t="str">
        <f>IFERROR(VLOOKUP(November[[#This Row],[Drug Name]],'Data Options'!$R$1:$S$100,2,FALSE), " ")</f>
        <v xml:space="preserve"> </v>
      </c>
      <c r="R189" s="32"/>
      <c r="S189" s="32"/>
      <c r="T189" s="53"/>
      <c r="U189" s="21" t="str">
        <f>IFERROR(VLOOKUP(November[[#This Row],[Drug Name2]],'Data Options'!$R$1:$S$100,2,FALSE), " ")</f>
        <v xml:space="preserve"> </v>
      </c>
      <c r="V189" s="32"/>
      <c r="W189" s="32"/>
      <c r="X189" s="53"/>
      <c r="Y189" s="21" t="str">
        <f>IFERROR(VLOOKUP(November[[#This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21" t="str">
        <f>IFERROR(VLOOKUP(November[[#This Row],[Drug Name4]],'Data Options'!$R$1:$S$100,2,FALSE), " ")</f>
        <v xml:space="preserve"> </v>
      </c>
      <c r="AI189" s="32"/>
      <c r="AJ189" s="32"/>
      <c r="AK189" s="53"/>
      <c r="AL189" s="21" t="str">
        <f>IFERROR(VLOOKUP(November[[#This Row],[Drug Name5]],'Data Options'!$R$1:$S$100,2,FALSE), " ")</f>
        <v xml:space="preserve"> </v>
      </c>
      <c r="AM189" s="32"/>
      <c r="AN189" s="32"/>
      <c r="AO189" s="53"/>
      <c r="AP189" s="21" t="str">
        <f>IFERROR(VLOOKUP(November[[#This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21" t="str">
        <f>IFERROR(VLOOKUP(November[[#This Row],[Drug Name7]],'Data Options'!$R$1:$S$100,2,FALSE), " ")</f>
        <v xml:space="preserve"> </v>
      </c>
      <c r="AZ189" s="32"/>
      <c r="BA189" s="32"/>
      <c r="BB189" s="53"/>
      <c r="BC189" s="21" t="str">
        <f>IFERROR(VLOOKUP(November[[#This Row],[Drug Name8]],'Data Options'!$R$1:$S$100,2,FALSE), " ")</f>
        <v xml:space="preserve"> </v>
      </c>
      <c r="BD189" s="32"/>
      <c r="BE189" s="32"/>
      <c r="BF189" s="53"/>
      <c r="BG189" s="21" t="str">
        <f>IFERROR(VLOOKUP(November[[#This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21" t="str">
        <f>IFERROR(VLOOKUP(November[[#This Row],[Drug Name]],'Data Options'!$R$1:$S$100,2,FALSE), " ")</f>
        <v xml:space="preserve"> </v>
      </c>
      <c r="R190" s="32"/>
      <c r="S190" s="32"/>
      <c r="T190" s="53"/>
      <c r="U190" s="21" t="str">
        <f>IFERROR(VLOOKUP(November[[#This Row],[Drug Name2]],'Data Options'!$R$1:$S$100,2,FALSE), " ")</f>
        <v xml:space="preserve"> </v>
      </c>
      <c r="V190" s="32"/>
      <c r="W190" s="32"/>
      <c r="X190" s="53"/>
      <c r="Y190" s="21" t="str">
        <f>IFERROR(VLOOKUP(November[[#This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21" t="str">
        <f>IFERROR(VLOOKUP(November[[#This Row],[Drug Name4]],'Data Options'!$R$1:$S$100,2,FALSE), " ")</f>
        <v xml:space="preserve"> </v>
      </c>
      <c r="AI190" s="32"/>
      <c r="AJ190" s="32"/>
      <c r="AK190" s="53"/>
      <c r="AL190" s="21" t="str">
        <f>IFERROR(VLOOKUP(November[[#This Row],[Drug Name5]],'Data Options'!$R$1:$S$100,2,FALSE), " ")</f>
        <v xml:space="preserve"> </v>
      </c>
      <c r="AM190" s="32"/>
      <c r="AN190" s="32"/>
      <c r="AO190" s="53"/>
      <c r="AP190" s="21" t="str">
        <f>IFERROR(VLOOKUP(November[[#This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21" t="str">
        <f>IFERROR(VLOOKUP(November[[#This Row],[Drug Name7]],'Data Options'!$R$1:$S$100,2,FALSE), " ")</f>
        <v xml:space="preserve"> </v>
      </c>
      <c r="AZ190" s="32"/>
      <c r="BA190" s="32"/>
      <c r="BB190" s="53"/>
      <c r="BC190" s="21" t="str">
        <f>IFERROR(VLOOKUP(November[[#This Row],[Drug Name8]],'Data Options'!$R$1:$S$100,2,FALSE), " ")</f>
        <v xml:space="preserve"> </v>
      </c>
      <c r="BD190" s="32"/>
      <c r="BE190" s="32"/>
      <c r="BF190" s="53"/>
      <c r="BG190" s="21" t="str">
        <f>IFERROR(VLOOKUP(November[[#This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21" t="str">
        <f>IFERROR(VLOOKUP(November[[#This Row],[Drug Name]],'Data Options'!$R$1:$S$100,2,FALSE), " ")</f>
        <v xml:space="preserve"> </v>
      </c>
      <c r="R191" s="32"/>
      <c r="S191" s="32"/>
      <c r="T191" s="53"/>
      <c r="U191" s="21" t="str">
        <f>IFERROR(VLOOKUP(November[[#This Row],[Drug Name2]],'Data Options'!$R$1:$S$100,2,FALSE), " ")</f>
        <v xml:space="preserve"> </v>
      </c>
      <c r="V191" s="32"/>
      <c r="W191" s="32"/>
      <c r="X191" s="53"/>
      <c r="Y191" s="21" t="str">
        <f>IFERROR(VLOOKUP(November[[#This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21" t="str">
        <f>IFERROR(VLOOKUP(November[[#This Row],[Drug Name4]],'Data Options'!$R$1:$S$100,2,FALSE), " ")</f>
        <v xml:space="preserve"> </v>
      </c>
      <c r="AI191" s="32"/>
      <c r="AJ191" s="32"/>
      <c r="AK191" s="53"/>
      <c r="AL191" s="21" t="str">
        <f>IFERROR(VLOOKUP(November[[#This Row],[Drug Name5]],'Data Options'!$R$1:$S$100,2,FALSE), " ")</f>
        <v xml:space="preserve"> </v>
      </c>
      <c r="AM191" s="32"/>
      <c r="AN191" s="32"/>
      <c r="AO191" s="53"/>
      <c r="AP191" s="21" t="str">
        <f>IFERROR(VLOOKUP(November[[#This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21" t="str">
        <f>IFERROR(VLOOKUP(November[[#This Row],[Drug Name7]],'Data Options'!$R$1:$S$100,2,FALSE), " ")</f>
        <v xml:space="preserve"> </v>
      </c>
      <c r="AZ191" s="32"/>
      <c r="BA191" s="32"/>
      <c r="BB191" s="53"/>
      <c r="BC191" s="21" t="str">
        <f>IFERROR(VLOOKUP(November[[#This Row],[Drug Name8]],'Data Options'!$R$1:$S$100,2,FALSE), " ")</f>
        <v xml:space="preserve"> </v>
      </c>
      <c r="BD191" s="32"/>
      <c r="BE191" s="32"/>
      <c r="BF191" s="53"/>
      <c r="BG191" s="21" t="str">
        <f>IFERROR(VLOOKUP(November[[#This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21" t="str">
        <f>IFERROR(VLOOKUP(November[[#This Row],[Drug Name]],'Data Options'!$R$1:$S$100,2,FALSE), " ")</f>
        <v xml:space="preserve"> </v>
      </c>
      <c r="R192" s="32"/>
      <c r="S192" s="32"/>
      <c r="T192" s="53"/>
      <c r="U192" s="21" t="str">
        <f>IFERROR(VLOOKUP(November[[#This Row],[Drug Name2]],'Data Options'!$R$1:$S$100,2,FALSE), " ")</f>
        <v xml:space="preserve"> </v>
      </c>
      <c r="V192" s="32"/>
      <c r="W192" s="32"/>
      <c r="X192" s="53"/>
      <c r="Y192" s="21" t="str">
        <f>IFERROR(VLOOKUP(November[[#This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21" t="str">
        <f>IFERROR(VLOOKUP(November[[#This Row],[Drug Name4]],'Data Options'!$R$1:$S$100,2,FALSE), " ")</f>
        <v xml:space="preserve"> </v>
      </c>
      <c r="AI192" s="32"/>
      <c r="AJ192" s="32"/>
      <c r="AK192" s="53"/>
      <c r="AL192" s="21" t="str">
        <f>IFERROR(VLOOKUP(November[[#This Row],[Drug Name5]],'Data Options'!$R$1:$S$100,2,FALSE), " ")</f>
        <v xml:space="preserve"> </v>
      </c>
      <c r="AM192" s="32"/>
      <c r="AN192" s="32"/>
      <c r="AO192" s="53"/>
      <c r="AP192" s="21" t="str">
        <f>IFERROR(VLOOKUP(November[[#This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21" t="str">
        <f>IFERROR(VLOOKUP(November[[#This Row],[Drug Name7]],'Data Options'!$R$1:$S$100,2,FALSE), " ")</f>
        <v xml:space="preserve"> </v>
      </c>
      <c r="AZ192" s="32"/>
      <c r="BA192" s="32"/>
      <c r="BB192" s="53"/>
      <c r="BC192" s="21" t="str">
        <f>IFERROR(VLOOKUP(November[[#This Row],[Drug Name8]],'Data Options'!$R$1:$S$100,2,FALSE), " ")</f>
        <v xml:space="preserve"> </v>
      </c>
      <c r="BD192" s="32"/>
      <c r="BE192" s="32"/>
      <c r="BF192" s="53"/>
      <c r="BG192" s="21" t="str">
        <f>IFERROR(VLOOKUP(November[[#This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21" t="str">
        <f>IFERROR(VLOOKUP(November[[#This Row],[Drug Name]],'Data Options'!$R$1:$S$100,2,FALSE), " ")</f>
        <v xml:space="preserve"> </v>
      </c>
      <c r="R193" s="32"/>
      <c r="S193" s="32"/>
      <c r="T193" s="53"/>
      <c r="U193" s="21" t="str">
        <f>IFERROR(VLOOKUP(November[[#This Row],[Drug Name2]],'Data Options'!$R$1:$S$100,2,FALSE), " ")</f>
        <v xml:space="preserve"> </v>
      </c>
      <c r="V193" s="32"/>
      <c r="W193" s="32"/>
      <c r="X193" s="53"/>
      <c r="Y193" s="21" t="str">
        <f>IFERROR(VLOOKUP(November[[#This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21" t="str">
        <f>IFERROR(VLOOKUP(November[[#This Row],[Drug Name4]],'Data Options'!$R$1:$S$100,2,FALSE), " ")</f>
        <v xml:space="preserve"> </v>
      </c>
      <c r="AI193" s="32"/>
      <c r="AJ193" s="32"/>
      <c r="AK193" s="53"/>
      <c r="AL193" s="21" t="str">
        <f>IFERROR(VLOOKUP(November[[#This Row],[Drug Name5]],'Data Options'!$R$1:$S$100,2,FALSE), " ")</f>
        <v xml:space="preserve"> </v>
      </c>
      <c r="AM193" s="32"/>
      <c r="AN193" s="32"/>
      <c r="AO193" s="53"/>
      <c r="AP193" s="21" t="str">
        <f>IFERROR(VLOOKUP(November[[#This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21" t="str">
        <f>IFERROR(VLOOKUP(November[[#This Row],[Drug Name7]],'Data Options'!$R$1:$S$100,2,FALSE), " ")</f>
        <v xml:space="preserve"> </v>
      </c>
      <c r="AZ193" s="32"/>
      <c r="BA193" s="32"/>
      <c r="BB193" s="53"/>
      <c r="BC193" s="21" t="str">
        <f>IFERROR(VLOOKUP(November[[#This Row],[Drug Name8]],'Data Options'!$R$1:$S$100,2,FALSE), " ")</f>
        <v xml:space="preserve"> </v>
      </c>
      <c r="BD193" s="32"/>
      <c r="BE193" s="32"/>
      <c r="BF193" s="53"/>
      <c r="BG193" s="21" t="str">
        <f>IFERROR(VLOOKUP(November[[#This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21" t="str">
        <f>IFERROR(VLOOKUP(November[[#This Row],[Drug Name]],'Data Options'!$R$1:$S$100,2,FALSE), " ")</f>
        <v xml:space="preserve"> </v>
      </c>
      <c r="R194" s="32"/>
      <c r="S194" s="32"/>
      <c r="T194" s="53"/>
      <c r="U194" s="21" t="str">
        <f>IFERROR(VLOOKUP(November[[#This Row],[Drug Name2]],'Data Options'!$R$1:$S$100,2,FALSE), " ")</f>
        <v xml:space="preserve"> </v>
      </c>
      <c r="V194" s="32"/>
      <c r="W194" s="32"/>
      <c r="X194" s="53"/>
      <c r="Y194" s="21" t="str">
        <f>IFERROR(VLOOKUP(November[[#This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21" t="str">
        <f>IFERROR(VLOOKUP(November[[#This Row],[Drug Name4]],'Data Options'!$R$1:$S$100,2,FALSE), " ")</f>
        <v xml:space="preserve"> </v>
      </c>
      <c r="AI194" s="32"/>
      <c r="AJ194" s="32"/>
      <c r="AK194" s="53"/>
      <c r="AL194" s="21" t="str">
        <f>IFERROR(VLOOKUP(November[[#This Row],[Drug Name5]],'Data Options'!$R$1:$S$100,2,FALSE), " ")</f>
        <v xml:space="preserve"> </v>
      </c>
      <c r="AM194" s="32"/>
      <c r="AN194" s="32"/>
      <c r="AO194" s="53"/>
      <c r="AP194" s="21" t="str">
        <f>IFERROR(VLOOKUP(November[[#This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21" t="str">
        <f>IFERROR(VLOOKUP(November[[#This Row],[Drug Name7]],'Data Options'!$R$1:$S$100,2,FALSE), " ")</f>
        <v xml:space="preserve"> </v>
      </c>
      <c r="AZ194" s="32"/>
      <c r="BA194" s="32"/>
      <c r="BB194" s="53"/>
      <c r="BC194" s="21" t="str">
        <f>IFERROR(VLOOKUP(November[[#This Row],[Drug Name8]],'Data Options'!$R$1:$S$100,2,FALSE), " ")</f>
        <v xml:space="preserve"> </v>
      </c>
      <c r="BD194" s="32"/>
      <c r="BE194" s="32"/>
      <c r="BF194" s="53"/>
      <c r="BG194" s="21" t="str">
        <f>IFERROR(VLOOKUP(November[[#This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21" t="str">
        <f>IFERROR(VLOOKUP(November[[#This Row],[Drug Name]],'Data Options'!$R$1:$S$100,2,FALSE), " ")</f>
        <v xml:space="preserve"> </v>
      </c>
      <c r="R195" s="32"/>
      <c r="S195" s="32"/>
      <c r="T195" s="53"/>
      <c r="U195" s="21" t="str">
        <f>IFERROR(VLOOKUP(November[[#This Row],[Drug Name2]],'Data Options'!$R$1:$S$100,2,FALSE), " ")</f>
        <v xml:space="preserve"> </v>
      </c>
      <c r="V195" s="32"/>
      <c r="W195" s="32"/>
      <c r="X195" s="53"/>
      <c r="Y195" s="21" t="str">
        <f>IFERROR(VLOOKUP(November[[#This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21" t="str">
        <f>IFERROR(VLOOKUP(November[[#This Row],[Drug Name4]],'Data Options'!$R$1:$S$100,2,FALSE), " ")</f>
        <v xml:space="preserve"> </v>
      </c>
      <c r="AI195" s="32"/>
      <c r="AJ195" s="32"/>
      <c r="AK195" s="53"/>
      <c r="AL195" s="21" t="str">
        <f>IFERROR(VLOOKUP(November[[#This Row],[Drug Name5]],'Data Options'!$R$1:$S$100,2,FALSE), " ")</f>
        <v xml:space="preserve"> </v>
      </c>
      <c r="AM195" s="32"/>
      <c r="AN195" s="32"/>
      <c r="AO195" s="53"/>
      <c r="AP195" s="21" t="str">
        <f>IFERROR(VLOOKUP(November[[#This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21" t="str">
        <f>IFERROR(VLOOKUP(November[[#This Row],[Drug Name7]],'Data Options'!$R$1:$S$100,2,FALSE), " ")</f>
        <v xml:space="preserve"> </v>
      </c>
      <c r="AZ195" s="32"/>
      <c r="BA195" s="32"/>
      <c r="BB195" s="53"/>
      <c r="BC195" s="21" t="str">
        <f>IFERROR(VLOOKUP(November[[#This Row],[Drug Name8]],'Data Options'!$R$1:$S$100,2,FALSE), " ")</f>
        <v xml:space="preserve"> </v>
      </c>
      <c r="BD195" s="32"/>
      <c r="BE195" s="32"/>
      <c r="BF195" s="53"/>
      <c r="BG195" s="21" t="str">
        <f>IFERROR(VLOOKUP(November[[#This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21" t="str">
        <f>IFERROR(VLOOKUP(November[[#This Row],[Drug Name]],'Data Options'!$R$1:$S$100,2,FALSE), " ")</f>
        <v xml:space="preserve"> </v>
      </c>
      <c r="R196" s="32"/>
      <c r="S196" s="32"/>
      <c r="T196" s="53"/>
      <c r="U196" s="21" t="str">
        <f>IFERROR(VLOOKUP(November[[#This Row],[Drug Name2]],'Data Options'!$R$1:$S$100,2,FALSE), " ")</f>
        <v xml:space="preserve"> </v>
      </c>
      <c r="V196" s="32"/>
      <c r="W196" s="32"/>
      <c r="X196" s="53"/>
      <c r="Y196" s="21" t="str">
        <f>IFERROR(VLOOKUP(November[[#This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21" t="str">
        <f>IFERROR(VLOOKUP(November[[#This Row],[Drug Name4]],'Data Options'!$R$1:$S$100,2,FALSE), " ")</f>
        <v xml:space="preserve"> </v>
      </c>
      <c r="AI196" s="32"/>
      <c r="AJ196" s="32"/>
      <c r="AK196" s="53"/>
      <c r="AL196" s="21" t="str">
        <f>IFERROR(VLOOKUP(November[[#This Row],[Drug Name5]],'Data Options'!$R$1:$S$100,2,FALSE), " ")</f>
        <v xml:space="preserve"> </v>
      </c>
      <c r="AM196" s="32"/>
      <c r="AN196" s="32"/>
      <c r="AO196" s="53"/>
      <c r="AP196" s="21" t="str">
        <f>IFERROR(VLOOKUP(November[[#This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21" t="str">
        <f>IFERROR(VLOOKUP(November[[#This Row],[Drug Name7]],'Data Options'!$R$1:$S$100,2,FALSE), " ")</f>
        <v xml:space="preserve"> </v>
      </c>
      <c r="AZ196" s="32"/>
      <c r="BA196" s="32"/>
      <c r="BB196" s="53"/>
      <c r="BC196" s="21" t="str">
        <f>IFERROR(VLOOKUP(November[[#This Row],[Drug Name8]],'Data Options'!$R$1:$S$100,2,FALSE), " ")</f>
        <v xml:space="preserve"> </v>
      </c>
      <c r="BD196" s="32"/>
      <c r="BE196" s="32"/>
      <c r="BF196" s="53"/>
      <c r="BG196" s="21" t="str">
        <f>IFERROR(VLOOKUP(November[[#This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21" t="str">
        <f>IFERROR(VLOOKUP(November[[#This Row],[Drug Name]],'Data Options'!$R$1:$S$100,2,FALSE), " ")</f>
        <v xml:space="preserve"> </v>
      </c>
      <c r="R197" s="32"/>
      <c r="S197" s="32"/>
      <c r="T197" s="53"/>
      <c r="U197" s="21" t="str">
        <f>IFERROR(VLOOKUP(November[[#This Row],[Drug Name2]],'Data Options'!$R$1:$S$100,2,FALSE), " ")</f>
        <v xml:space="preserve"> </v>
      </c>
      <c r="V197" s="32"/>
      <c r="W197" s="32"/>
      <c r="X197" s="53"/>
      <c r="Y197" s="21" t="str">
        <f>IFERROR(VLOOKUP(November[[#This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21" t="str">
        <f>IFERROR(VLOOKUP(November[[#This Row],[Drug Name4]],'Data Options'!$R$1:$S$100,2,FALSE), " ")</f>
        <v xml:space="preserve"> </v>
      </c>
      <c r="AI197" s="32"/>
      <c r="AJ197" s="32"/>
      <c r="AK197" s="53"/>
      <c r="AL197" s="21" t="str">
        <f>IFERROR(VLOOKUP(November[[#This Row],[Drug Name5]],'Data Options'!$R$1:$S$100,2,FALSE), " ")</f>
        <v xml:space="preserve"> </v>
      </c>
      <c r="AM197" s="32"/>
      <c r="AN197" s="32"/>
      <c r="AO197" s="53"/>
      <c r="AP197" s="21" t="str">
        <f>IFERROR(VLOOKUP(November[[#This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21" t="str">
        <f>IFERROR(VLOOKUP(November[[#This Row],[Drug Name7]],'Data Options'!$R$1:$S$100,2,FALSE), " ")</f>
        <v xml:space="preserve"> </v>
      </c>
      <c r="AZ197" s="32"/>
      <c r="BA197" s="32"/>
      <c r="BB197" s="53"/>
      <c r="BC197" s="21" t="str">
        <f>IFERROR(VLOOKUP(November[[#This Row],[Drug Name8]],'Data Options'!$R$1:$S$100,2,FALSE), " ")</f>
        <v xml:space="preserve"> </v>
      </c>
      <c r="BD197" s="32"/>
      <c r="BE197" s="32"/>
      <c r="BF197" s="53"/>
      <c r="BG197" s="21" t="str">
        <f>IFERROR(VLOOKUP(November[[#This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21" t="str">
        <f>IFERROR(VLOOKUP(November[[#This Row],[Drug Name]],'Data Options'!$R$1:$S$100,2,FALSE), " ")</f>
        <v xml:space="preserve"> </v>
      </c>
      <c r="R198" s="32"/>
      <c r="S198" s="32"/>
      <c r="T198" s="53"/>
      <c r="U198" s="21" t="str">
        <f>IFERROR(VLOOKUP(November[[#This Row],[Drug Name2]],'Data Options'!$R$1:$S$100,2,FALSE), " ")</f>
        <v xml:space="preserve"> </v>
      </c>
      <c r="V198" s="32"/>
      <c r="W198" s="32"/>
      <c r="X198" s="53"/>
      <c r="Y198" s="21" t="str">
        <f>IFERROR(VLOOKUP(November[[#This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21" t="str">
        <f>IFERROR(VLOOKUP(November[[#This Row],[Drug Name4]],'Data Options'!$R$1:$S$100,2,FALSE), " ")</f>
        <v xml:space="preserve"> </v>
      </c>
      <c r="AI198" s="32"/>
      <c r="AJ198" s="32"/>
      <c r="AK198" s="53"/>
      <c r="AL198" s="21" t="str">
        <f>IFERROR(VLOOKUP(November[[#This Row],[Drug Name5]],'Data Options'!$R$1:$S$100,2,FALSE), " ")</f>
        <v xml:space="preserve"> </v>
      </c>
      <c r="AM198" s="32"/>
      <c r="AN198" s="32"/>
      <c r="AO198" s="53"/>
      <c r="AP198" s="21" t="str">
        <f>IFERROR(VLOOKUP(November[[#This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21" t="str">
        <f>IFERROR(VLOOKUP(November[[#This Row],[Drug Name7]],'Data Options'!$R$1:$S$100,2,FALSE), " ")</f>
        <v xml:space="preserve"> </v>
      </c>
      <c r="AZ198" s="32"/>
      <c r="BA198" s="32"/>
      <c r="BB198" s="53"/>
      <c r="BC198" s="21" t="str">
        <f>IFERROR(VLOOKUP(November[[#This Row],[Drug Name8]],'Data Options'!$R$1:$S$100,2,FALSE), " ")</f>
        <v xml:space="preserve"> </v>
      </c>
      <c r="BD198" s="32"/>
      <c r="BE198" s="32"/>
      <c r="BF198" s="53"/>
      <c r="BG198" s="21" t="str">
        <f>IFERROR(VLOOKUP(November[[#This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21" t="str">
        <f>IFERROR(VLOOKUP(November[[#This Row],[Drug Name]],'Data Options'!$R$1:$S$100,2,FALSE), " ")</f>
        <v xml:space="preserve"> </v>
      </c>
      <c r="R199" s="32"/>
      <c r="S199" s="32"/>
      <c r="T199" s="53"/>
      <c r="U199" s="21" t="str">
        <f>IFERROR(VLOOKUP(November[[#This Row],[Drug Name2]],'Data Options'!$R$1:$S$100,2,FALSE), " ")</f>
        <v xml:space="preserve"> </v>
      </c>
      <c r="V199" s="32"/>
      <c r="W199" s="32"/>
      <c r="X199" s="53"/>
      <c r="Y199" s="21" t="str">
        <f>IFERROR(VLOOKUP(November[[#This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21" t="str">
        <f>IFERROR(VLOOKUP(November[[#This Row],[Drug Name4]],'Data Options'!$R$1:$S$100,2,FALSE), " ")</f>
        <v xml:space="preserve"> </v>
      </c>
      <c r="AI199" s="32"/>
      <c r="AJ199" s="32"/>
      <c r="AK199" s="53"/>
      <c r="AL199" s="21" t="str">
        <f>IFERROR(VLOOKUP(November[[#This Row],[Drug Name5]],'Data Options'!$R$1:$S$100,2,FALSE), " ")</f>
        <v xml:space="preserve"> </v>
      </c>
      <c r="AM199" s="32"/>
      <c r="AN199" s="32"/>
      <c r="AO199" s="53"/>
      <c r="AP199" s="21" t="str">
        <f>IFERROR(VLOOKUP(November[[#This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21" t="str">
        <f>IFERROR(VLOOKUP(November[[#This Row],[Drug Name7]],'Data Options'!$R$1:$S$100,2,FALSE), " ")</f>
        <v xml:space="preserve"> </v>
      </c>
      <c r="AZ199" s="32"/>
      <c r="BA199" s="32"/>
      <c r="BB199" s="53"/>
      <c r="BC199" s="21" t="str">
        <f>IFERROR(VLOOKUP(November[[#This Row],[Drug Name8]],'Data Options'!$R$1:$S$100,2,FALSE), " ")</f>
        <v xml:space="preserve"> </v>
      </c>
      <c r="BD199" s="32"/>
      <c r="BE199" s="32"/>
      <c r="BF199" s="53"/>
      <c r="BG199" s="21" t="str">
        <f>IFERROR(VLOOKUP(November[[#This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21" t="str">
        <f>IFERROR(VLOOKUP(November[[#This Row],[Drug Name]],'Data Options'!$R$1:$S$100,2,FALSE), " ")</f>
        <v xml:space="preserve"> </v>
      </c>
      <c r="R200" s="32"/>
      <c r="S200" s="32"/>
      <c r="T200" s="53"/>
      <c r="U200" s="21" t="str">
        <f>IFERROR(VLOOKUP(November[[#This Row],[Drug Name2]],'Data Options'!$R$1:$S$100,2,FALSE), " ")</f>
        <v xml:space="preserve"> </v>
      </c>
      <c r="V200" s="32"/>
      <c r="W200" s="32"/>
      <c r="X200" s="53"/>
      <c r="Y200" s="21" t="str">
        <f>IFERROR(VLOOKUP(November[[#This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21" t="str">
        <f>IFERROR(VLOOKUP(November[[#This Row],[Drug Name4]],'Data Options'!$R$1:$S$100,2,FALSE), " ")</f>
        <v xml:space="preserve"> </v>
      </c>
      <c r="AI200" s="32"/>
      <c r="AJ200" s="32"/>
      <c r="AK200" s="53"/>
      <c r="AL200" s="21" t="str">
        <f>IFERROR(VLOOKUP(November[[#This Row],[Drug Name5]],'Data Options'!$R$1:$S$100,2,FALSE), " ")</f>
        <v xml:space="preserve"> </v>
      </c>
      <c r="AM200" s="32"/>
      <c r="AN200" s="32"/>
      <c r="AO200" s="53"/>
      <c r="AP200" s="21" t="str">
        <f>IFERROR(VLOOKUP(November[[#This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21" t="str">
        <f>IFERROR(VLOOKUP(November[[#This Row],[Drug Name7]],'Data Options'!$R$1:$S$100,2,FALSE), " ")</f>
        <v xml:space="preserve"> </v>
      </c>
      <c r="AZ200" s="32"/>
      <c r="BA200" s="32"/>
      <c r="BB200" s="53"/>
      <c r="BC200" s="21" t="str">
        <f>IFERROR(VLOOKUP(November[[#This Row],[Drug Name8]],'Data Options'!$R$1:$S$100,2,FALSE), " ")</f>
        <v xml:space="preserve"> </v>
      </c>
      <c r="BD200" s="32"/>
      <c r="BE200" s="32"/>
      <c r="BF200" s="53"/>
      <c r="BG200" s="21" t="str">
        <f>IFERROR(VLOOKUP(November[[#This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21" t="str">
        <f>IFERROR(VLOOKUP(November[[#This Row],[Drug Name]],'Data Options'!$R$1:$S$100,2,FALSE), " ")</f>
        <v xml:space="preserve"> </v>
      </c>
      <c r="R201" s="32"/>
      <c r="S201" s="32"/>
      <c r="T201" s="53"/>
      <c r="U201" s="21" t="str">
        <f>IFERROR(VLOOKUP(November[[#This Row],[Drug Name2]],'Data Options'!$R$1:$S$100,2,FALSE), " ")</f>
        <v xml:space="preserve"> </v>
      </c>
      <c r="V201" s="32"/>
      <c r="W201" s="32"/>
      <c r="X201" s="53"/>
      <c r="Y201" s="21" t="str">
        <f>IFERROR(VLOOKUP(November[[#This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21" t="str">
        <f>IFERROR(VLOOKUP(November[[#This Row],[Drug Name4]],'Data Options'!$R$1:$S$100,2,FALSE), " ")</f>
        <v xml:space="preserve"> </v>
      </c>
      <c r="AI201" s="32"/>
      <c r="AJ201" s="32"/>
      <c r="AK201" s="53"/>
      <c r="AL201" s="21" t="str">
        <f>IFERROR(VLOOKUP(November[[#This Row],[Drug Name5]],'Data Options'!$R$1:$S$100,2,FALSE), " ")</f>
        <v xml:space="preserve"> </v>
      </c>
      <c r="AM201" s="32"/>
      <c r="AN201" s="32"/>
      <c r="AO201" s="53"/>
      <c r="AP201" s="21" t="str">
        <f>IFERROR(VLOOKUP(November[[#This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21" t="str">
        <f>IFERROR(VLOOKUP(November[[#This Row],[Drug Name7]],'Data Options'!$R$1:$S$100,2,FALSE), " ")</f>
        <v xml:space="preserve"> </v>
      </c>
      <c r="AZ201" s="32"/>
      <c r="BA201" s="32"/>
      <c r="BB201" s="53"/>
      <c r="BC201" s="21" t="str">
        <f>IFERROR(VLOOKUP(November[[#This Row],[Drug Name8]],'Data Options'!$R$1:$S$100,2,FALSE), " ")</f>
        <v xml:space="preserve"> </v>
      </c>
      <c r="BD201" s="32"/>
      <c r="BE201" s="32"/>
      <c r="BF201" s="53"/>
      <c r="BG201" s="21" t="str">
        <f>IFERROR(VLOOKUP(November[[#This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M1Z/LUR+UhBvuyjTPeYGCwwOJlL+EOrXRf8aBNEvYdgQZ2a+DOJBU81mP/9RverWtzya0iiCJ5SMl0ogQENDuA==" saltValue="gVD6itpzPUUDyEs/AqBeMw==" spinCount="100000" sheet="1" objects="1" scenarios="1"/>
  <mergeCells count="13">
    <mergeCell ref="AG2:AJ2"/>
    <mergeCell ref="AX2:BA2"/>
    <mergeCell ref="BB2:BE2"/>
    <mergeCell ref="BF2:BI2"/>
    <mergeCell ref="AB1:AF2"/>
    <mergeCell ref="AS1:AW2"/>
    <mergeCell ref="AO2:AR2"/>
    <mergeCell ref="A1:J2"/>
    <mergeCell ref="K1:Y1"/>
    <mergeCell ref="K2:O2"/>
    <mergeCell ref="P2:S2"/>
    <mergeCell ref="T2:W2"/>
    <mergeCell ref="X2:AA2"/>
  </mergeCells>
  <phoneticPr fontId="5" type="noConversion"/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workbookViewId="0">
      <selection activeCell="C9" sqref="C9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44166</v>
      </c>
      <c r="B4" s="52" t="s">
        <v>294</v>
      </c>
      <c r="C4" s="32">
        <v>20110</v>
      </c>
      <c r="D4" s="32" t="s">
        <v>12</v>
      </c>
      <c r="E4" s="32" t="s">
        <v>17</v>
      </c>
      <c r="F4" s="32" t="s">
        <v>123</v>
      </c>
      <c r="G4" s="32" t="s">
        <v>19</v>
      </c>
      <c r="H4" s="32"/>
      <c r="I4" s="32" t="s">
        <v>23</v>
      </c>
      <c r="J4" s="32">
        <v>0</v>
      </c>
      <c r="K4" s="32" t="s">
        <v>276</v>
      </c>
      <c r="L4" s="32"/>
      <c r="M4" s="32"/>
      <c r="N4" s="31" t="s">
        <v>22</v>
      </c>
      <c r="O4" s="31" t="s">
        <v>23</v>
      </c>
      <c r="P4" s="53"/>
      <c r="Q4" s="54" t="str">
        <f>IFERROR(VLOOKUP(December[[#This Row],[Drug Name]],'Data Options'!$R$1:$S$100,2,FALSE), " ")</f>
        <v xml:space="preserve"> </v>
      </c>
      <c r="R4" s="32"/>
      <c r="S4" s="32"/>
      <c r="T4" s="53"/>
      <c r="U4" s="54" t="str">
        <f>IFERROR(VLOOKUP(December[[#This Row],[Drug Name2]],'Data Options'!$R$1:$S$100,2,FALSE), " ")</f>
        <v xml:space="preserve"> </v>
      </c>
      <c r="V4" s="32"/>
      <c r="W4" s="32"/>
      <c r="X4" s="53"/>
      <c r="Y4" s="54" t="str">
        <f>IFERROR(VLOOKUP(December[[#This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54" t="str">
        <f>IFERROR(VLOOKUP(December[[#This Row],[Drug Name4]],'Data Options'!$R$1:$S$100,2,FALSE), " ")</f>
        <v xml:space="preserve"> </v>
      </c>
      <c r="AI4" s="32"/>
      <c r="AJ4" s="32"/>
      <c r="AK4" s="53"/>
      <c r="AL4" s="54" t="str">
        <f>IFERROR(VLOOKUP(December[[#This Row],[Drug Name5]],'Data Options'!$R$1:$S$100,2,FALSE), " ")</f>
        <v xml:space="preserve"> </v>
      </c>
      <c r="AM4" s="32"/>
      <c r="AN4" s="32"/>
      <c r="AO4" s="53"/>
      <c r="AP4" s="54" t="str">
        <f>IFERROR(VLOOKUP(December[[#This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54" t="str">
        <f>IFERROR(VLOOKUP(December[[#This Row],[Drug Name7]],'Data Options'!$R$1:$S$100,2,FALSE), " ")</f>
        <v xml:space="preserve"> </v>
      </c>
      <c r="AZ4" s="32"/>
      <c r="BA4" s="32"/>
      <c r="BB4" s="53"/>
      <c r="BC4" s="54" t="str">
        <f>IFERROR(VLOOKUP(December[[#This Row],[Drug Name8]],'Data Options'!$R$1:$S$100,2,FALSE), " ")</f>
        <v xml:space="preserve"> </v>
      </c>
      <c r="BD4" s="32"/>
      <c r="BE4" s="32"/>
      <c r="BF4" s="53"/>
      <c r="BG4" s="54" t="str">
        <f>IFERROR(VLOOKUP(December[[#This Row],[Drug Name9]],'Data Options'!$R$1:$S$100,2,FALSE), " ")</f>
        <v xml:space="preserve"> </v>
      </c>
      <c r="BH4" s="32"/>
      <c r="BI4" s="32"/>
    </row>
    <row r="5" spans="1:61">
      <c r="A5" s="51">
        <v>44167</v>
      </c>
      <c r="B5" s="52" t="s">
        <v>294</v>
      </c>
      <c r="C5" s="32">
        <v>20111</v>
      </c>
      <c r="D5" s="32" t="s">
        <v>13</v>
      </c>
      <c r="E5" s="32" t="s">
        <v>15</v>
      </c>
      <c r="F5" s="32" t="s">
        <v>221</v>
      </c>
      <c r="G5" s="32" t="s">
        <v>18</v>
      </c>
      <c r="H5" s="32"/>
      <c r="I5" s="32" t="s">
        <v>23</v>
      </c>
      <c r="J5" s="32">
        <v>0</v>
      </c>
      <c r="K5" s="32" t="s">
        <v>100</v>
      </c>
      <c r="L5" s="32"/>
      <c r="M5" s="32"/>
      <c r="N5" s="31"/>
      <c r="O5" s="31"/>
      <c r="P5" s="53"/>
      <c r="Q5" s="54" t="str">
        <f>IFERROR(VLOOKUP(December[[#This Row],[Drug Name]],'Data Options'!$R$1:$S$100,2,FALSE), " ")</f>
        <v xml:space="preserve"> </v>
      </c>
      <c r="R5" s="32"/>
      <c r="S5" s="32"/>
      <c r="T5" s="53"/>
      <c r="U5" s="54" t="str">
        <f>IFERROR(VLOOKUP(December[[#This Row],[Drug Name2]],'Data Options'!$R$1:$S$100,2,FALSE), " ")</f>
        <v xml:space="preserve"> </v>
      </c>
      <c r="V5" s="32"/>
      <c r="W5" s="32"/>
      <c r="X5" s="53"/>
      <c r="Y5" s="54" t="str">
        <f>IFERROR(VLOOKUP(December[[#This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54" t="str">
        <f>IFERROR(VLOOKUP(December[[#This Row],[Drug Name4]],'Data Options'!$R$1:$S$100,2,FALSE), " ")</f>
        <v xml:space="preserve"> </v>
      </c>
      <c r="AI5" s="32"/>
      <c r="AJ5" s="32"/>
      <c r="AK5" s="53"/>
      <c r="AL5" s="54" t="str">
        <f>IFERROR(VLOOKUP(December[[#This Row],[Drug Name5]],'Data Options'!$R$1:$S$100,2,FALSE), " ")</f>
        <v xml:space="preserve"> </v>
      </c>
      <c r="AM5" s="32"/>
      <c r="AN5" s="32"/>
      <c r="AO5" s="53"/>
      <c r="AP5" s="54" t="str">
        <f>IFERROR(VLOOKUP(December[[#This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54" t="str">
        <f>IFERROR(VLOOKUP(December[[#This Row],[Drug Name7]],'Data Options'!$R$1:$S$100,2,FALSE), " ")</f>
        <v xml:space="preserve"> </v>
      </c>
      <c r="AZ5" s="32"/>
      <c r="BA5" s="32"/>
      <c r="BB5" s="53"/>
      <c r="BC5" s="54" t="str">
        <f>IFERROR(VLOOKUP(December[[#This Row],[Drug Name8]],'Data Options'!$R$1:$S$100,2,FALSE), " ")</f>
        <v xml:space="preserve"> </v>
      </c>
      <c r="BD5" s="32"/>
      <c r="BE5" s="32"/>
      <c r="BF5" s="53"/>
      <c r="BG5" s="54" t="str">
        <f>IFERROR(VLOOKUP(December[[#This Row],[Drug Name9]],'Data Options'!$R$1:$S$100,2,FALSE), " ")</f>
        <v xml:space="preserve"> </v>
      </c>
      <c r="BH5" s="32"/>
      <c r="BI5" s="32"/>
    </row>
    <row r="6" spans="1:61" ht="77.5">
      <c r="A6" s="51">
        <v>44168</v>
      </c>
      <c r="B6" s="52" t="s">
        <v>294</v>
      </c>
      <c r="C6" s="32">
        <v>20112</v>
      </c>
      <c r="D6" s="32" t="s">
        <v>12</v>
      </c>
      <c r="E6" s="32" t="s">
        <v>15</v>
      </c>
      <c r="F6" s="32" t="s">
        <v>220</v>
      </c>
      <c r="G6" s="32" t="s">
        <v>20</v>
      </c>
      <c r="H6" s="32"/>
      <c r="I6" s="32" t="s">
        <v>22</v>
      </c>
      <c r="J6" s="32">
        <v>1</v>
      </c>
      <c r="K6" s="32" t="s">
        <v>291</v>
      </c>
      <c r="L6" s="32"/>
      <c r="M6" s="32">
        <v>1</v>
      </c>
      <c r="N6" s="31" t="s">
        <v>22</v>
      </c>
      <c r="O6" s="31" t="s">
        <v>22</v>
      </c>
      <c r="P6" s="53" t="s">
        <v>309</v>
      </c>
      <c r="Q6" s="54" t="str">
        <f>IFERROR(VLOOKUP(December[[#This Row],[Drug Name]],'Data Options'!$R$1:$S$100,2,FALSE), " ")</f>
        <v>Otic</v>
      </c>
      <c r="R6" s="32" t="s">
        <v>92</v>
      </c>
      <c r="S6" s="32" t="s">
        <v>98</v>
      </c>
      <c r="T6" s="53"/>
      <c r="U6" s="54" t="str">
        <f>IFERROR(VLOOKUP(December[[#This Row],[Drug Name2]],'Data Options'!$R$1:$S$100,2,FALSE), " ")</f>
        <v xml:space="preserve"> </v>
      </c>
      <c r="V6" s="32"/>
      <c r="W6" s="32"/>
      <c r="X6" s="53"/>
      <c r="Y6" s="54" t="str">
        <f>IFERROR(VLOOKUP(December[[#This Row],[Drug Name3]],'Data Options'!$R$1:$S$100,2,FALSE), " ")</f>
        <v xml:space="preserve"> </v>
      </c>
      <c r="Z6" s="32"/>
      <c r="AA6" s="32"/>
      <c r="AB6" s="32"/>
      <c r="AC6" s="32"/>
      <c r="AD6" s="32"/>
      <c r="AE6" s="31"/>
      <c r="AF6" s="31"/>
      <c r="AG6" s="53"/>
      <c r="AH6" s="54" t="str">
        <f>IFERROR(VLOOKUP(December[[#This Row],[Drug Name4]],'Data Options'!$R$1:$S$100,2,FALSE), " ")</f>
        <v xml:space="preserve"> </v>
      </c>
      <c r="AI6" s="32"/>
      <c r="AJ6" s="32"/>
      <c r="AK6" s="53"/>
      <c r="AL6" s="54" t="str">
        <f>IFERROR(VLOOKUP(December[[#This Row],[Drug Name5]],'Data Options'!$R$1:$S$100,2,FALSE), " ")</f>
        <v xml:space="preserve"> </v>
      </c>
      <c r="AM6" s="32"/>
      <c r="AN6" s="32"/>
      <c r="AO6" s="53"/>
      <c r="AP6" s="54" t="str">
        <f>IFERROR(VLOOKUP(December[[#This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54" t="str">
        <f>IFERROR(VLOOKUP(December[[#This Row],[Drug Name7]],'Data Options'!$R$1:$S$100,2,FALSE), " ")</f>
        <v xml:space="preserve"> </v>
      </c>
      <c r="AZ6" s="32"/>
      <c r="BA6" s="32"/>
      <c r="BB6" s="53"/>
      <c r="BC6" s="54" t="str">
        <f>IFERROR(VLOOKUP(December[[#This Row],[Drug Name8]],'Data Options'!$R$1:$S$100,2,FALSE), " ")</f>
        <v xml:space="preserve"> </v>
      </c>
      <c r="BD6" s="32"/>
      <c r="BE6" s="32"/>
      <c r="BF6" s="53"/>
      <c r="BG6" s="54" t="str">
        <f>IFERROR(VLOOKUP(December[[#This Row],[Drug Name9]],'Data Options'!$R$1:$S$100,2,FALSE), " ")</f>
        <v xml:space="preserve"> </v>
      </c>
      <c r="BH6" s="32"/>
      <c r="BI6" s="32"/>
    </row>
    <row r="7" spans="1:61">
      <c r="A7" s="51">
        <v>44169</v>
      </c>
      <c r="B7" s="52" t="s">
        <v>294</v>
      </c>
      <c r="C7" s="32">
        <v>20113</v>
      </c>
      <c r="D7" s="32" t="s">
        <v>13</v>
      </c>
      <c r="E7" s="32" t="s">
        <v>17</v>
      </c>
      <c r="F7" s="32" t="s">
        <v>219</v>
      </c>
      <c r="G7" s="32" t="s">
        <v>18</v>
      </c>
      <c r="H7" s="32"/>
      <c r="I7" s="32" t="s">
        <v>23</v>
      </c>
      <c r="J7" s="32">
        <v>0</v>
      </c>
      <c r="K7" s="32" t="s">
        <v>100</v>
      </c>
      <c r="L7" s="32"/>
      <c r="M7" s="32"/>
      <c r="N7" s="31"/>
      <c r="O7" s="31"/>
      <c r="P7" s="53"/>
      <c r="Q7" s="54" t="str">
        <f>IFERROR(VLOOKUP(December[[#This Row],[Drug Name]],'Data Options'!$R$1:$S$100,2,FALSE), " ")</f>
        <v xml:space="preserve"> </v>
      </c>
      <c r="R7" s="32"/>
      <c r="S7" s="32"/>
      <c r="T7" s="53"/>
      <c r="U7" s="54" t="str">
        <f>IFERROR(VLOOKUP(December[[#This Row],[Drug Name2]],'Data Options'!$R$1:$S$100,2,FALSE), " ")</f>
        <v xml:space="preserve"> </v>
      </c>
      <c r="V7" s="32"/>
      <c r="W7" s="32"/>
      <c r="X7" s="53"/>
      <c r="Y7" s="54" t="str">
        <f>IFERROR(VLOOKUP(December[[#This Row],[Drug Name3]],'Data Options'!$R$1:$S$100,2,FALSE), " ")</f>
        <v xml:space="preserve"> </v>
      </c>
      <c r="Z7" s="32"/>
      <c r="AA7" s="32"/>
      <c r="AB7" s="32"/>
      <c r="AC7" s="32"/>
      <c r="AD7" s="32"/>
      <c r="AE7" s="31"/>
      <c r="AF7" s="31"/>
      <c r="AG7" s="53"/>
      <c r="AH7" s="54" t="str">
        <f>IFERROR(VLOOKUP(December[[#This Row],[Drug Name4]],'Data Options'!$R$1:$S$100,2,FALSE), " ")</f>
        <v xml:space="preserve"> </v>
      </c>
      <c r="AI7" s="32"/>
      <c r="AJ7" s="32"/>
      <c r="AK7" s="53"/>
      <c r="AL7" s="54" t="str">
        <f>IFERROR(VLOOKUP(December[[#This Row],[Drug Name5]],'Data Options'!$R$1:$S$100,2,FALSE), " ")</f>
        <v xml:space="preserve"> </v>
      </c>
      <c r="AM7" s="32"/>
      <c r="AN7" s="32"/>
      <c r="AO7" s="53"/>
      <c r="AP7" s="54" t="str">
        <f>IFERROR(VLOOKUP(December[[#This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54" t="str">
        <f>IFERROR(VLOOKUP(December[[#This Row],[Drug Name7]],'Data Options'!$R$1:$S$100,2,FALSE), " ")</f>
        <v xml:space="preserve"> </v>
      </c>
      <c r="AZ7" s="32"/>
      <c r="BA7" s="32"/>
      <c r="BB7" s="53"/>
      <c r="BC7" s="54" t="str">
        <f>IFERROR(VLOOKUP(December[[#This Row],[Drug Name8]],'Data Options'!$R$1:$S$100,2,FALSE), " ")</f>
        <v xml:space="preserve"> </v>
      </c>
      <c r="BD7" s="32"/>
      <c r="BE7" s="32"/>
      <c r="BF7" s="53"/>
      <c r="BG7" s="54" t="str">
        <f>IFERROR(VLOOKUP(December[[#This Row],[Drug Name9]],'Data Options'!$R$1:$S$100,2,FALSE), " ")</f>
        <v xml:space="preserve"> </v>
      </c>
      <c r="BH7" s="32"/>
      <c r="BI7" s="32"/>
    </row>
    <row r="8" spans="1:61">
      <c r="A8" s="51">
        <v>44170</v>
      </c>
      <c r="B8" s="52" t="s">
        <v>294</v>
      </c>
      <c r="C8" s="32">
        <v>20114</v>
      </c>
      <c r="D8" s="32" t="s">
        <v>12</v>
      </c>
      <c r="E8" s="32" t="s">
        <v>17</v>
      </c>
      <c r="F8" s="32" t="s">
        <v>219</v>
      </c>
      <c r="G8" s="32" t="s">
        <v>18</v>
      </c>
      <c r="H8" s="32"/>
      <c r="I8" s="32" t="s">
        <v>23</v>
      </c>
      <c r="J8" s="32">
        <v>0</v>
      </c>
      <c r="K8" s="32" t="s">
        <v>100</v>
      </c>
      <c r="L8" s="32"/>
      <c r="M8" s="32"/>
      <c r="N8" s="31"/>
      <c r="O8" s="31"/>
      <c r="P8" s="53"/>
      <c r="Q8" s="54" t="str">
        <f>IFERROR(VLOOKUP(December[[#This Row],[Drug Name]],'Data Options'!$R$1:$S$100,2,FALSE), " ")</f>
        <v xml:space="preserve"> </v>
      </c>
      <c r="R8" s="32"/>
      <c r="S8" s="32"/>
      <c r="T8" s="53"/>
      <c r="U8" s="54" t="str">
        <f>IFERROR(VLOOKUP(December[[#This Row],[Drug Name2]],'Data Options'!$R$1:$S$100,2,FALSE), " ")</f>
        <v xml:space="preserve"> </v>
      </c>
      <c r="V8" s="32"/>
      <c r="W8" s="32"/>
      <c r="X8" s="53"/>
      <c r="Y8" s="54" t="str">
        <f>IFERROR(VLOOKUP(December[[#This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54" t="str">
        <f>IFERROR(VLOOKUP(December[[#This Row],[Drug Name4]],'Data Options'!$R$1:$S$100,2,FALSE), " ")</f>
        <v xml:space="preserve"> </v>
      </c>
      <c r="AI8" s="32"/>
      <c r="AJ8" s="32"/>
      <c r="AK8" s="53"/>
      <c r="AL8" s="54" t="str">
        <f>IFERROR(VLOOKUP(December[[#This Row],[Drug Name5]],'Data Options'!$R$1:$S$100,2,FALSE), " ")</f>
        <v xml:space="preserve"> </v>
      </c>
      <c r="AM8" s="32"/>
      <c r="AN8" s="32"/>
      <c r="AO8" s="53"/>
      <c r="AP8" s="54" t="str">
        <f>IFERROR(VLOOKUP(December[[#This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54" t="str">
        <f>IFERROR(VLOOKUP(December[[#This Row],[Drug Name7]],'Data Options'!$R$1:$S$100,2,FALSE), " ")</f>
        <v xml:space="preserve"> </v>
      </c>
      <c r="AZ8" s="32"/>
      <c r="BA8" s="32"/>
      <c r="BB8" s="53"/>
      <c r="BC8" s="54" t="str">
        <f>IFERROR(VLOOKUP(December[[#This Row],[Drug Name8]],'Data Options'!$R$1:$S$100,2,FALSE), " ")</f>
        <v xml:space="preserve"> </v>
      </c>
      <c r="BD8" s="32"/>
      <c r="BE8" s="32"/>
      <c r="BF8" s="53"/>
      <c r="BG8" s="54" t="str">
        <f>IFERROR(VLOOKUP(December[[#This Row],[Drug Name9]],'Data Options'!$R$1:$S$100,2,FALSE), " ")</f>
        <v xml:space="preserve"> </v>
      </c>
      <c r="BH8" s="32"/>
      <c r="BI8" s="32"/>
    </row>
    <row r="9" spans="1:61" ht="31">
      <c r="A9" s="51">
        <v>44171</v>
      </c>
      <c r="B9" s="52" t="s">
        <v>294</v>
      </c>
      <c r="C9" s="32">
        <v>20115</v>
      </c>
      <c r="D9" s="32" t="s">
        <v>13</v>
      </c>
      <c r="E9" s="32" t="s">
        <v>15</v>
      </c>
      <c r="F9" s="32" t="s">
        <v>218</v>
      </c>
      <c r="G9" s="32" t="s">
        <v>20</v>
      </c>
      <c r="H9" s="32"/>
      <c r="I9" s="32" t="s">
        <v>22</v>
      </c>
      <c r="J9" s="32">
        <v>1</v>
      </c>
      <c r="K9" s="32" t="s">
        <v>102</v>
      </c>
      <c r="L9" s="32"/>
      <c r="M9" s="32">
        <v>1</v>
      </c>
      <c r="N9" s="31" t="s">
        <v>22</v>
      </c>
      <c r="O9" s="31" t="s">
        <v>23</v>
      </c>
      <c r="P9" s="53" t="s">
        <v>43</v>
      </c>
      <c r="Q9" s="54" t="str">
        <f>IFERROR(VLOOKUP(December[[#This Row],[Drug Name]],'Data Options'!$R$1:$S$100,2,FALSE), " ")</f>
        <v>Nitroimidazoles</v>
      </c>
      <c r="R9" s="32" t="s">
        <v>92</v>
      </c>
      <c r="S9" s="32" t="s">
        <v>89</v>
      </c>
      <c r="T9" s="53"/>
      <c r="U9" s="54" t="str">
        <f>IFERROR(VLOOKUP(December[[#This Row],[Drug Name2]],'Data Options'!$R$1:$S$100,2,FALSE), " ")</f>
        <v xml:space="preserve"> </v>
      </c>
      <c r="V9" s="32"/>
      <c r="W9" s="32"/>
      <c r="X9" s="53"/>
      <c r="Y9" s="54" t="str">
        <f>IFERROR(VLOOKUP(December[[#This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54" t="str">
        <f>IFERROR(VLOOKUP(December[[#This Row],[Drug Name4]],'Data Options'!$R$1:$S$100,2,FALSE), " ")</f>
        <v xml:space="preserve"> </v>
      </c>
      <c r="AI9" s="32"/>
      <c r="AJ9" s="32"/>
      <c r="AK9" s="53"/>
      <c r="AL9" s="54" t="str">
        <f>IFERROR(VLOOKUP(December[[#This Row],[Drug Name5]],'Data Options'!$R$1:$S$100,2,FALSE), " ")</f>
        <v xml:space="preserve"> </v>
      </c>
      <c r="AM9" s="32"/>
      <c r="AN9" s="32"/>
      <c r="AO9" s="53"/>
      <c r="AP9" s="54" t="str">
        <f>IFERROR(VLOOKUP(December[[#This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54" t="str">
        <f>IFERROR(VLOOKUP(December[[#This Row],[Drug Name7]],'Data Options'!$R$1:$S$100,2,FALSE), " ")</f>
        <v xml:space="preserve"> </v>
      </c>
      <c r="AZ9" s="32"/>
      <c r="BA9" s="32"/>
      <c r="BB9" s="53"/>
      <c r="BC9" s="54" t="str">
        <f>IFERROR(VLOOKUP(December[[#This Row],[Drug Name8]],'Data Options'!$R$1:$S$100,2,FALSE), " ")</f>
        <v xml:space="preserve"> </v>
      </c>
      <c r="BD9" s="32"/>
      <c r="BE9" s="32"/>
      <c r="BF9" s="53"/>
      <c r="BG9" s="54" t="str">
        <f>IFERROR(VLOOKUP(December[[#This Row],[Drug Name9]],'Data Options'!$R$1:$S$100,2,FALSE), " ")</f>
        <v xml:space="preserve"> </v>
      </c>
      <c r="BH9" s="32"/>
      <c r="BI9" s="32"/>
    </row>
    <row r="10" spans="1:61">
      <c r="A10" s="51">
        <v>44172</v>
      </c>
      <c r="B10" s="52" t="s">
        <v>294</v>
      </c>
      <c r="C10" s="32">
        <v>20116</v>
      </c>
      <c r="D10" s="32" t="s">
        <v>13</v>
      </c>
      <c r="E10" s="32" t="s">
        <v>16</v>
      </c>
      <c r="F10" s="32" t="s">
        <v>117</v>
      </c>
      <c r="G10" s="32" t="s">
        <v>149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1"/>
      <c r="O10" s="31"/>
      <c r="P10" s="53"/>
      <c r="Q10" s="54" t="str">
        <f>IFERROR(VLOOKUP(December[[#This Row],[Drug Name]],'Data Options'!$R$1:$S$100,2,FALSE), " ")</f>
        <v xml:space="preserve"> </v>
      </c>
      <c r="R10" s="32"/>
      <c r="S10" s="32"/>
      <c r="T10" s="53"/>
      <c r="U10" s="54" t="str">
        <f>IFERROR(VLOOKUP(December[[#This Row],[Drug Name2]],'Data Options'!$R$1:$S$100,2,FALSE), " ")</f>
        <v xml:space="preserve"> </v>
      </c>
      <c r="V10" s="32"/>
      <c r="W10" s="32"/>
      <c r="X10" s="53"/>
      <c r="Y10" s="54" t="str">
        <f>IFERROR(VLOOKUP(December[[#This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54" t="str">
        <f>IFERROR(VLOOKUP(December[[#This Row],[Drug Name4]],'Data Options'!$R$1:$S$100,2,FALSE), " ")</f>
        <v xml:space="preserve"> </v>
      </c>
      <c r="AI10" s="32"/>
      <c r="AJ10" s="32"/>
      <c r="AK10" s="53"/>
      <c r="AL10" s="54" t="str">
        <f>IFERROR(VLOOKUP(December[[#This Row],[Drug Name5]],'Data Options'!$R$1:$S$100,2,FALSE), " ")</f>
        <v xml:space="preserve"> </v>
      </c>
      <c r="AM10" s="32"/>
      <c r="AN10" s="32"/>
      <c r="AO10" s="53"/>
      <c r="AP10" s="54" t="str">
        <f>IFERROR(VLOOKUP(December[[#This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54" t="str">
        <f>IFERROR(VLOOKUP(December[[#This Row],[Drug Name7]],'Data Options'!$R$1:$S$100,2,FALSE), " ")</f>
        <v xml:space="preserve"> </v>
      </c>
      <c r="AZ10" s="32"/>
      <c r="BA10" s="32"/>
      <c r="BB10" s="53"/>
      <c r="BC10" s="54" t="str">
        <f>IFERROR(VLOOKUP(December[[#This Row],[Drug Name8]],'Data Options'!$R$1:$S$100,2,FALSE), " ")</f>
        <v xml:space="preserve"> </v>
      </c>
      <c r="BD10" s="32"/>
      <c r="BE10" s="32"/>
      <c r="BF10" s="53"/>
      <c r="BG10" s="54" t="str">
        <f>IFERROR(VLOOKUP(December[[#This Row],[Drug Name9]],'Data Options'!$R$1:$S$100,2,FALSE), " ")</f>
        <v xml:space="preserve"> </v>
      </c>
      <c r="BH10" s="32"/>
      <c r="BI10" s="32"/>
    </row>
    <row r="11" spans="1:61">
      <c r="A11" s="51">
        <v>44173</v>
      </c>
      <c r="B11" s="52" t="s">
        <v>294</v>
      </c>
      <c r="C11" s="32">
        <v>20117</v>
      </c>
      <c r="D11" s="32" t="s">
        <v>12</v>
      </c>
      <c r="E11" s="32" t="s">
        <v>15</v>
      </c>
      <c r="F11" s="32" t="s">
        <v>218</v>
      </c>
      <c r="G11" s="32" t="s">
        <v>18</v>
      </c>
      <c r="H11" s="32"/>
      <c r="I11" s="32" t="s">
        <v>23</v>
      </c>
      <c r="J11" s="32">
        <v>0</v>
      </c>
      <c r="K11" s="32" t="s">
        <v>100</v>
      </c>
      <c r="L11" s="32"/>
      <c r="M11" s="32"/>
      <c r="N11" s="31"/>
      <c r="O11" s="31"/>
      <c r="P11" s="53"/>
      <c r="Q11" s="54" t="str">
        <f>IFERROR(VLOOKUP(December[[#This Row],[Drug Name]],'Data Options'!$R$1:$S$100,2,FALSE), " ")</f>
        <v xml:space="preserve"> </v>
      </c>
      <c r="R11" s="32"/>
      <c r="S11" s="32"/>
      <c r="T11" s="53"/>
      <c r="U11" s="54" t="str">
        <f>IFERROR(VLOOKUP(December[[#This Row],[Drug Name2]],'Data Options'!$R$1:$S$100,2,FALSE), " ")</f>
        <v xml:space="preserve"> </v>
      </c>
      <c r="V11" s="32"/>
      <c r="W11" s="32"/>
      <c r="X11" s="53"/>
      <c r="Y11" s="54" t="str">
        <f>IFERROR(VLOOKUP(December[[#This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54" t="str">
        <f>IFERROR(VLOOKUP(December[[#This Row],[Drug Name4]],'Data Options'!$R$1:$S$100,2,FALSE), " ")</f>
        <v xml:space="preserve"> </v>
      </c>
      <c r="AI11" s="32"/>
      <c r="AJ11" s="32"/>
      <c r="AK11" s="53"/>
      <c r="AL11" s="54" t="str">
        <f>IFERROR(VLOOKUP(December[[#This Row],[Drug Name5]],'Data Options'!$R$1:$S$100,2,FALSE), " ")</f>
        <v xml:space="preserve"> </v>
      </c>
      <c r="AM11" s="32"/>
      <c r="AN11" s="32"/>
      <c r="AO11" s="53"/>
      <c r="AP11" s="54" t="str">
        <f>IFERROR(VLOOKUP(December[[#This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54" t="str">
        <f>IFERROR(VLOOKUP(December[[#This Row],[Drug Name7]],'Data Options'!$R$1:$S$100,2,FALSE), " ")</f>
        <v xml:space="preserve"> </v>
      </c>
      <c r="AZ11" s="32"/>
      <c r="BA11" s="32"/>
      <c r="BB11" s="53"/>
      <c r="BC11" s="54" t="str">
        <f>IFERROR(VLOOKUP(December[[#This Row],[Drug Name8]],'Data Options'!$R$1:$S$100,2,FALSE), " ")</f>
        <v xml:space="preserve"> </v>
      </c>
      <c r="BD11" s="32"/>
      <c r="BE11" s="32"/>
      <c r="BF11" s="53"/>
      <c r="BG11" s="54" t="str">
        <f>IFERROR(VLOOKUP(December[[#This Row],[Drug Name9]],'Data Options'!$R$1:$S$100,2,FALSE), " ")</f>
        <v xml:space="preserve"> </v>
      </c>
      <c r="BH11" s="32"/>
      <c r="BI11" s="32"/>
    </row>
    <row r="12" spans="1:61">
      <c r="A12" s="51">
        <v>44174</v>
      </c>
      <c r="B12" s="52" t="s">
        <v>294</v>
      </c>
      <c r="C12" s="32">
        <v>20118</v>
      </c>
      <c r="D12" s="32" t="s">
        <v>13</v>
      </c>
      <c r="E12" s="32" t="s">
        <v>17</v>
      </c>
      <c r="F12" s="32" t="s">
        <v>219</v>
      </c>
      <c r="G12" s="32" t="s">
        <v>20</v>
      </c>
      <c r="H12" s="32"/>
      <c r="I12" s="32" t="s">
        <v>247</v>
      </c>
      <c r="J12" s="32">
        <v>0</v>
      </c>
      <c r="K12" s="32" t="s">
        <v>276</v>
      </c>
      <c r="L12" s="32"/>
      <c r="M12" s="32"/>
      <c r="N12" s="31"/>
      <c r="O12" s="31"/>
      <c r="P12" s="53"/>
      <c r="Q12" s="54" t="str">
        <f>IFERROR(VLOOKUP(December[[#This Row],[Drug Name]],'Data Options'!$R$1:$S$100,2,FALSE), " ")</f>
        <v xml:space="preserve"> </v>
      </c>
      <c r="R12" s="32"/>
      <c r="S12" s="32"/>
      <c r="T12" s="53"/>
      <c r="U12" s="54" t="str">
        <f>IFERROR(VLOOKUP(December[[#This Row],[Drug Name2]],'Data Options'!$R$1:$S$100,2,FALSE), " ")</f>
        <v xml:space="preserve"> </v>
      </c>
      <c r="V12" s="32"/>
      <c r="W12" s="32"/>
      <c r="X12" s="53"/>
      <c r="Y12" s="54" t="str">
        <f>IFERROR(VLOOKUP(December[[#This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54" t="str">
        <f>IFERROR(VLOOKUP(December[[#This Row],[Drug Name4]],'Data Options'!$R$1:$S$100,2,FALSE), " ")</f>
        <v xml:space="preserve"> </v>
      </c>
      <c r="AI12" s="32"/>
      <c r="AJ12" s="32"/>
      <c r="AK12" s="53"/>
      <c r="AL12" s="54" t="str">
        <f>IFERROR(VLOOKUP(December[[#This Row],[Drug Name5]],'Data Options'!$R$1:$S$100,2,FALSE), " ")</f>
        <v xml:space="preserve"> </v>
      </c>
      <c r="AM12" s="32"/>
      <c r="AN12" s="32"/>
      <c r="AO12" s="53"/>
      <c r="AP12" s="54" t="str">
        <f>IFERROR(VLOOKUP(December[[#This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54" t="str">
        <f>IFERROR(VLOOKUP(December[[#This Row],[Drug Name7]],'Data Options'!$R$1:$S$100,2,FALSE), " ")</f>
        <v xml:space="preserve"> </v>
      </c>
      <c r="AZ12" s="32"/>
      <c r="BA12" s="32"/>
      <c r="BB12" s="53"/>
      <c r="BC12" s="54" t="str">
        <f>IFERROR(VLOOKUP(December[[#This Row],[Drug Name8]],'Data Options'!$R$1:$S$100,2,FALSE), " ")</f>
        <v xml:space="preserve"> </v>
      </c>
      <c r="BD12" s="32"/>
      <c r="BE12" s="32"/>
      <c r="BF12" s="53"/>
      <c r="BG12" s="54" t="str">
        <f>IFERROR(VLOOKUP(December[[#This Row],[Drug Name9]],'Data Options'!$R$1:$S$100,2,FALSE), " ")</f>
        <v xml:space="preserve"> </v>
      </c>
      <c r="BH12" s="32"/>
      <c r="BI12" s="32"/>
    </row>
    <row r="13" spans="1:61">
      <c r="A13" s="51">
        <v>44175</v>
      </c>
      <c r="B13" s="52" t="s">
        <v>294</v>
      </c>
      <c r="C13" s="32">
        <v>20119</v>
      </c>
      <c r="D13" s="32" t="s">
        <v>12</v>
      </c>
      <c r="E13" s="32" t="s">
        <v>14</v>
      </c>
      <c r="F13" s="32" t="s">
        <v>219</v>
      </c>
      <c r="G13" s="32" t="s">
        <v>20</v>
      </c>
      <c r="H13" s="32"/>
      <c r="I13" s="32" t="s">
        <v>247</v>
      </c>
      <c r="J13" s="32">
        <v>0</v>
      </c>
      <c r="K13" s="32" t="s">
        <v>277</v>
      </c>
      <c r="L13" s="32"/>
      <c r="M13" s="32"/>
      <c r="N13" s="31"/>
      <c r="O13" s="31"/>
      <c r="P13" s="53"/>
      <c r="Q13" s="54" t="str">
        <f>IFERROR(VLOOKUP(December[[#This Row],[Drug Name]],'Data Options'!$R$1:$S$100,2,FALSE), " ")</f>
        <v xml:space="preserve"> </v>
      </c>
      <c r="R13" s="32"/>
      <c r="S13" s="32"/>
      <c r="T13" s="53"/>
      <c r="U13" s="54" t="str">
        <f>IFERROR(VLOOKUP(December[[#This Row],[Drug Name2]],'Data Options'!$R$1:$S$100,2,FALSE), " ")</f>
        <v xml:space="preserve"> </v>
      </c>
      <c r="V13" s="32"/>
      <c r="W13" s="32"/>
      <c r="X13" s="53"/>
      <c r="Y13" s="54" t="str">
        <f>IFERROR(VLOOKUP(December[[#This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54" t="str">
        <f>IFERROR(VLOOKUP(December[[#This Row],[Drug Name4]],'Data Options'!$R$1:$S$100,2,FALSE), " ")</f>
        <v xml:space="preserve"> </v>
      </c>
      <c r="AI13" s="32"/>
      <c r="AJ13" s="32"/>
      <c r="AK13" s="53"/>
      <c r="AL13" s="54" t="str">
        <f>IFERROR(VLOOKUP(December[[#This Row],[Drug Name5]],'Data Options'!$R$1:$S$100,2,FALSE), " ")</f>
        <v xml:space="preserve"> </v>
      </c>
      <c r="AM13" s="32"/>
      <c r="AN13" s="32"/>
      <c r="AO13" s="53"/>
      <c r="AP13" s="54" t="str">
        <f>IFERROR(VLOOKUP(December[[#This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54" t="str">
        <f>IFERROR(VLOOKUP(December[[#This Row],[Drug Name7]],'Data Options'!$R$1:$S$100,2,FALSE), " ")</f>
        <v xml:space="preserve"> </v>
      </c>
      <c r="AZ13" s="32"/>
      <c r="BA13" s="32"/>
      <c r="BB13" s="53"/>
      <c r="BC13" s="54" t="str">
        <f>IFERROR(VLOOKUP(December[[#This Row],[Drug Name8]],'Data Options'!$R$1:$S$100,2,FALSE), " ")</f>
        <v xml:space="preserve"> </v>
      </c>
      <c r="BD13" s="32"/>
      <c r="BE13" s="32"/>
      <c r="BF13" s="53"/>
      <c r="BG13" s="54" t="str">
        <f>IFERROR(VLOOKUP(December[[#This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54" t="str">
        <f>IFERROR(VLOOKUP(December[[#This Row],[Drug Name]],'Data Options'!$R$1:$S$100,2,FALSE), " ")</f>
        <v xml:space="preserve"> </v>
      </c>
      <c r="R14" s="32"/>
      <c r="S14" s="32"/>
      <c r="T14" s="53"/>
      <c r="U14" s="54" t="str">
        <f>IFERROR(VLOOKUP(December[[#This Row],[Drug Name2]],'Data Options'!$R$1:$S$100,2,FALSE), " ")</f>
        <v xml:space="preserve"> </v>
      </c>
      <c r="V14" s="32"/>
      <c r="W14" s="32"/>
      <c r="X14" s="53"/>
      <c r="Y14" s="54" t="str">
        <f>IFERROR(VLOOKUP(December[[#This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54" t="str">
        <f>IFERROR(VLOOKUP(December[[#This Row],[Drug Name4]],'Data Options'!$R$1:$S$100,2,FALSE), " ")</f>
        <v xml:space="preserve"> </v>
      </c>
      <c r="AI14" s="32"/>
      <c r="AJ14" s="32"/>
      <c r="AK14" s="53"/>
      <c r="AL14" s="54" t="str">
        <f>IFERROR(VLOOKUP(December[[#This Row],[Drug Name5]],'Data Options'!$R$1:$S$100,2,FALSE), " ")</f>
        <v xml:space="preserve"> </v>
      </c>
      <c r="AM14" s="32"/>
      <c r="AN14" s="32"/>
      <c r="AO14" s="53"/>
      <c r="AP14" s="54" t="str">
        <f>IFERROR(VLOOKUP(December[[#This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54" t="str">
        <f>IFERROR(VLOOKUP(December[[#This Row],[Drug Name7]],'Data Options'!$R$1:$S$100,2,FALSE), " ")</f>
        <v xml:space="preserve"> </v>
      </c>
      <c r="AZ14" s="32"/>
      <c r="BA14" s="32"/>
      <c r="BB14" s="53"/>
      <c r="BC14" s="54" t="str">
        <f>IFERROR(VLOOKUP(December[[#This Row],[Drug Name8]],'Data Options'!$R$1:$S$100,2,FALSE), " ")</f>
        <v xml:space="preserve"> </v>
      </c>
      <c r="BD14" s="32"/>
      <c r="BE14" s="32"/>
      <c r="BF14" s="53"/>
      <c r="BG14" s="54" t="str">
        <f>IFERROR(VLOOKUP(December[[#This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54" t="str">
        <f>IFERROR(VLOOKUP(December[[#This Row],[Drug Name]],'Data Options'!$R$1:$S$100,2,FALSE), " ")</f>
        <v xml:space="preserve"> </v>
      </c>
      <c r="R15" s="32"/>
      <c r="S15" s="32"/>
      <c r="T15" s="53"/>
      <c r="U15" s="54" t="str">
        <f>IFERROR(VLOOKUP(December[[#This Row],[Drug Name2]],'Data Options'!$R$1:$S$100,2,FALSE), " ")</f>
        <v xml:space="preserve"> </v>
      </c>
      <c r="V15" s="32"/>
      <c r="W15" s="32"/>
      <c r="X15" s="53"/>
      <c r="Y15" s="54" t="str">
        <f>IFERROR(VLOOKUP(December[[#This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54" t="str">
        <f>IFERROR(VLOOKUP(December[[#This Row],[Drug Name4]],'Data Options'!$R$1:$S$100,2,FALSE), " ")</f>
        <v xml:space="preserve"> </v>
      </c>
      <c r="AI15" s="32"/>
      <c r="AJ15" s="32"/>
      <c r="AK15" s="53"/>
      <c r="AL15" s="54" t="str">
        <f>IFERROR(VLOOKUP(December[[#This Row],[Drug Name5]],'Data Options'!$R$1:$S$100,2,FALSE), " ")</f>
        <v xml:space="preserve"> </v>
      </c>
      <c r="AM15" s="32"/>
      <c r="AN15" s="32"/>
      <c r="AO15" s="53"/>
      <c r="AP15" s="54" t="str">
        <f>IFERROR(VLOOKUP(December[[#This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54" t="str">
        <f>IFERROR(VLOOKUP(December[[#This Row],[Drug Name7]],'Data Options'!$R$1:$S$100,2,FALSE), " ")</f>
        <v xml:space="preserve"> </v>
      </c>
      <c r="AZ15" s="32"/>
      <c r="BA15" s="32"/>
      <c r="BB15" s="53"/>
      <c r="BC15" s="54" t="str">
        <f>IFERROR(VLOOKUP(December[[#This Row],[Drug Name8]],'Data Options'!$R$1:$S$100,2,FALSE), " ")</f>
        <v xml:space="preserve"> </v>
      </c>
      <c r="BD15" s="32"/>
      <c r="BE15" s="32"/>
      <c r="BF15" s="53"/>
      <c r="BG15" s="54" t="str">
        <f>IFERROR(VLOOKUP(December[[#This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54" t="str">
        <f>IFERROR(VLOOKUP(December[[#This Row],[Drug Name]],'Data Options'!$R$1:$S$100,2,FALSE), " ")</f>
        <v xml:space="preserve"> </v>
      </c>
      <c r="R16" s="32"/>
      <c r="S16" s="32"/>
      <c r="T16" s="53"/>
      <c r="U16" s="54" t="str">
        <f>IFERROR(VLOOKUP(December[[#This Row],[Drug Name2]],'Data Options'!$R$1:$S$100,2,FALSE), " ")</f>
        <v xml:space="preserve"> </v>
      </c>
      <c r="V16" s="32"/>
      <c r="W16" s="32"/>
      <c r="X16" s="53"/>
      <c r="Y16" s="54" t="str">
        <f>IFERROR(VLOOKUP(December[[#This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54" t="str">
        <f>IFERROR(VLOOKUP(December[[#This Row],[Drug Name4]],'Data Options'!$R$1:$S$100,2,FALSE), " ")</f>
        <v xml:space="preserve"> </v>
      </c>
      <c r="AI16" s="32"/>
      <c r="AJ16" s="32"/>
      <c r="AK16" s="53"/>
      <c r="AL16" s="54" t="str">
        <f>IFERROR(VLOOKUP(December[[#This Row],[Drug Name5]],'Data Options'!$R$1:$S$100,2,FALSE), " ")</f>
        <v xml:space="preserve"> </v>
      </c>
      <c r="AM16" s="32"/>
      <c r="AN16" s="32"/>
      <c r="AO16" s="53"/>
      <c r="AP16" s="54" t="str">
        <f>IFERROR(VLOOKUP(December[[#This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54" t="str">
        <f>IFERROR(VLOOKUP(December[[#This Row],[Drug Name7]],'Data Options'!$R$1:$S$100,2,FALSE), " ")</f>
        <v xml:space="preserve"> </v>
      </c>
      <c r="AZ16" s="32"/>
      <c r="BA16" s="32"/>
      <c r="BB16" s="53"/>
      <c r="BC16" s="54" t="str">
        <f>IFERROR(VLOOKUP(December[[#This Row],[Drug Name8]],'Data Options'!$R$1:$S$100,2,FALSE), " ")</f>
        <v xml:space="preserve"> </v>
      </c>
      <c r="BD16" s="32"/>
      <c r="BE16" s="32"/>
      <c r="BF16" s="53"/>
      <c r="BG16" s="54" t="str">
        <f>IFERROR(VLOOKUP(December[[#This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54" t="str">
        <f>IFERROR(VLOOKUP(December[[#This Row],[Drug Name]],'Data Options'!$R$1:$S$100,2,FALSE), " ")</f>
        <v xml:space="preserve"> </v>
      </c>
      <c r="R17" s="32"/>
      <c r="S17" s="32"/>
      <c r="T17" s="53"/>
      <c r="U17" s="54" t="str">
        <f>IFERROR(VLOOKUP(December[[#This Row],[Drug Name2]],'Data Options'!$R$1:$S$100,2,FALSE), " ")</f>
        <v xml:space="preserve"> </v>
      </c>
      <c r="V17" s="32"/>
      <c r="W17" s="32"/>
      <c r="X17" s="53"/>
      <c r="Y17" s="54" t="str">
        <f>IFERROR(VLOOKUP(December[[#This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54" t="str">
        <f>IFERROR(VLOOKUP(December[[#This Row],[Drug Name4]],'Data Options'!$R$1:$S$100,2,FALSE), " ")</f>
        <v xml:space="preserve"> </v>
      </c>
      <c r="AI17" s="32"/>
      <c r="AJ17" s="32"/>
      <c r="AK17" s="53"/>
      <c r="AL17" s="54" t="str">
        <f>IFERROR(VLOOKUP(December[[#This Row],[Drug Name5]],'Data Options'!$R$1:$S$100,2,FALSE), " ")</f>
        <v xml:space="preserve"> </v>
      </c>
      <c r="AM17" s="32"/>
      <c r="AN17" s="32"/>
      <c r="AO17" s="53"/>
      <c r="AP17" s="54" t="str">
        <f>IFERROR(VLOOKUP(December[[#This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54" t="str">
        <f>IFERROR(VLOOKUP(December[[#This Row],[Drug Name7]],'Data Options'!$R$1:$S$100,2,FALSE), " ")</f>
        <v xml:space="preserve"> </v>
      </c>
      <c r="AZ17" s="32"/>
      <c r="BA17" s="32"/>
      <c r="BB17" s="53"/>
      <c r="BC17" s="54" t="str">
        <f>IFERROR(VLOOKUP(December[[#This Row],[Drug Name8]],'Data Options'!$R$1:$S$100,2,FALSE), " ")</f>
        <v xml:space="preserve"> </v>
      </c>
      <c r="BD17" s="32"/>
      <c r="BE17" s="32"/>
      <c r="BF17" s="53"/>
      <c r="BG17" s="54" t="str">
        <f>IFERROR(VLOOKUP(December[[#This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54" t="str">
        <f>IFERROR(VLOOKUP(December[[#This Row],[Drug Name]],'Data Options'!$R$1:$S$100,2,FALSE), " ")</f>
        <v xml:space="preserve"> </v>
      </c>
      <c r="R18" s="32"/>
      <c r="S18" s="32"/>
      <c r="T18" s="53"/>
      <c r="U18" s="54" t="str">
        <f>IFERROR(VLOOKUP(December[[#This Row],[Drug Name2]],'Data Options'!$R$1:$S$100,2,FALSE), " ")</f>
        <v xml:space="preserve"> </v>
      </c>
      <c r="V18" s="32"/>
      <c r="W18" s="32"/>
      <c r="X18" s="53"/>
      <c r="Y18" s="54" t="str">
        <f>IFERROR(VLOOKUP(December[[#This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54" t="str">
        <f>IFERROR(VLOOKUP(December[[#This Row],[Drug Name4]],'Data Options'!$R$1:$S$100,2,FALSE), " ")</f>
        <v xml:space="preserve"> </v>
      </c>
      <c r="AI18" s="32"/>
      <c r="AJ18" s="32"/>
      <c r="AK18" s="53"/>
      <c r="AL18" s="54" t="str">
        <f>IFERROR(VLOOKUP(December[[#This Row],[Drug Name5]],'Data Options'!$R$1:$S$100,2,FALSE), " ")</f>
        <v xml:space="preserve"> </v>
      </c>
      <c r="AM18" s="32"/>
      <c r="AN18" s="32"/>
      <c r="AO18" s="53"/>
      <c r="AP18" s="54" t="str">
        <f>IFERROR(VLOOKUP(December[[#This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54" t="str">
        <f>IFERROR(VLOOKUP(December[[#This Row],[Drug Name7]],'Data Options'!$R$1:$S$100,2,FALSE), " ")</f>
        <v xml:space="preserve"> </v>
      </c>
      <c r="AZ18" s="32"/>
      <c r="BA18" s="32"/>
      <c r="BB18" s="53"/>
      <c r="BC18" s="54" t="str">
        <f>IFERROR(VLOOKUP(December[[#This Row],[Drug Name8]],'Data Options'!$R$1:$S$100,2,FALSE), " ")</f>
        <v xml:space="preserve"> </v>
      </c>
      <c r="BD18" s="32"/>
      <c r="BE18" s="32"/>
      <c r="BF18" s="53"/>
      <c r="BG18" s="54" t="str">
        <f>IFERROR(VLOOKUP(December[[#This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54" t="str">
        <f>IFERROR(VLOOKUP(December[[#This Row],[Drug Name]],'Data Options'!$R$1:$S$100,2,FALSE), " ")</f>
        <v xml:space="preserve"> </v>
      </c>
      <c r="R19" s="32"/>
      <c r="S19" s="32"/>
      <c r="T19" s="53"/>
      <c r="U19" s="54" t="str">
        <f>IFERROR(VLOOKUP(December[[#This Row],[Drug Name2]],'Data Options'!$R$1:$S$100,2,FALSE), " ")</f>
        <v xml:space="preserve"> </v>
      </c>
      <c r="V19" s="32"/>
      <c r="W19" s="32"/>
      <c r="X19" s="53"/>
      <c r="Y19" s="54" t="str">
        <f>IFERROR(VLOOKUP(December[[#This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54" t="str">
        <f>IFERROR(VLOOKUP(December[[#This Row],[Drug Name4]],'Data Options'!$R$1:$S$100,2,FALSE), " ")</f>
        <v xml:space="preserve"> </v>
      </c>
      <c r="AI19" s="32"/>
      <c r="AJ19" s="32"/>
      <c r="AK19" s="53"/>
      <c r="AL19" s="54" t="str">
        <f>IFERROR(VLOOKUP(December[[#This Row],[Drug Name5]],'Data Options'!$R$1:$S$100,2,FALSE), " ")</f>
        <v xml:space="preserve"> </v>
      </c>
      <c r="AM19" s="32"/>
      <c r="AN19" s="32"/>
      <c r="AO19" s="53"/>
      <c r="AP19" s="54" t="str">
        <f>IFERROR(VLOOKUP(December[[#This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54" t="str">
        <f>IFERROR(VLOOKUP(December[[#This Row],[Drug Name7]],'Data Options'!$R$1:$S$100,2,FALSE), " ")</f>
        <v xml:space="preserve"> </v>
      </c>
      <c r="AZ19" s="32"/>
      <c r="BA19" s="32"/>
      <c r="BB19" s="53"/>
      <c r="BC19" s="54" t="str">
        <f>IFERROR(VLOOKUP(December[[#This Row],[Drug Name8]],'Data Options'!$R$1:$S$100,2,FALSE), " ")</f>
        <v xml:space="preserve"> </v>
      </c>
      <c r="BD19" s="32"/>
      <c r="BE19" s="32"/>
      <c r="BF19" s="53"/>
      <c r="BG19" s="54" t="str">
        <f>IFERROR(VLOOKUP(December[[#This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54" t="str">
        <f>IFERROR(VLOOKUP(December[[#This Row],[Drug Name]],'Data Options'!$R$1:$S$100,2,FALSE), " ")</f>
        <v xml:space="preserve"> </v>
      </c>
      <c r="R20" s="32"/>
      <c r="S20" s="32"/>
      <c r="T20" s="53"/>
      <c r="U20" s="54" t="str">
        <f>IFERROR(VLOOKUP(December[[#This Row],[Drug Name2]],'Data Options'!$R$1:$S$100,2,FALSE), " ")</f>
        <v xml:space="preserve"> </v>
      </c>
      <c r="V20" s="32"/>
      <c r="W20" s="32"/>
      <c r="X20" s="53"/>
      <c r="Y20" s="54" t="str">
        <f>IFERROR(VLOOKUP(December[[#This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54" t="str">
        <f>IFERROR(VLOOKUP(December[[#This Row],[Drug Name4]],'Data Options'!$R$1:$S$100,2,FALSE), " ")</f>
        <v xml:space="preserve"> </v>
      </c>
      <c r="AI20" s="32"/>
      <c r="AJ20" s="32"/>
      <c r="AK20" s="53"/>
      <c r="AL20" s="54" t="str">
        <f>IFERROR(VLOOKUP(December[[#This Row],[Drug Name5]],'Data Options'!$R$1:$S$100,2,FALSE), " ")</f>
        <v xml:space="preserve"> </v>
      </c>
      <c r="AM20" s="32"/>
      <c r="AN20" s="32"/>
      <c r="AO20" s="53"/>
      <c r="AP20" s="54" t="str">
        <f>IFERROR(VLOOKUP(December[[#This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54" t="str">
        <f>IFERROR(VLOOKUP(December[[#This Row],[Drug Name7]],'Data Options'!$R$1:$S$100,2,FALSE), " ")</f>
        <v xml:space="preserve"> </v>
      </c>
      <c r="AZ20" s="32"/>
      <c r="BA20" s="32"/>
      <c r="BB20" s="53"/>
      <c r="BC20" s="54" t="str">
        <f>IFERROR(VLOOKUP(December[[#This Row],[Drug Name8]],'Data Options'!$R$1:$S$100,2,FALSE), " ")</f>
        <v xml:space="preserve"> </v>
      </c>
      <c r="BD20" s="32"/>
      <c r="BE20" s="32"/>
      <c r="BF20" s="53"/>
      <c r="BG20" s="54" t="str">
        <f>IFERROR(VLOOKUP(December[[#This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54" t="str">
        <f>IFERROR(VLOOKUP(December[[#This Row],[Drug Name]],'Data Options'!$R$1:$S$100,2,FALSE), " ")</f>
        <v xml:space="preserve"> </v>
      </c>
      <c r="R21" s="32"/>
      <c r="S21" s="32"/>
      <c r="T21" s="53"/>
      <c r="U21" s="54" t="str">
        <f>IFERROR(VLOOKUP(December[[#This Row],[Drug Name2]],'Data Options'!$R$1:$S$100,2,FALSE), " ")</f>
        <v xml:space="preserve"> </v>
      </c>
      <c r="V21" s="32"/>
      <c r="W21" s="32"/>
      <c r="X21" s="53"/>
      <c r="Y21" s="54" t="str">
        <f>IFERROR(VLOOKUP(December[[#This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54" t="str">
        <f>IFERROR(VLOOKUP(December[[#This Row],[Drug Name4]],'Data Options'!$R$1:$S$100,2,FALSE), " ")</f>
        <v xml:space="preserve"> </v>
      </c>
      <c r="AI21" s="32"/>
      <c r="AJ21" s="32"/>
      <c r="AK21" s="53"/>
      <c r="AL21" s="54" t="str">
        <f>IFERROR(VLOOKUP(December[[#This Row],[Drug Name5]],'Data Options'!$R$1:$S$100,2,FALSE), " ")</f>
        <v xml:space="preserve"> </v>
      </c>
      <c r="AM21" s="32"/>
      <c r="AN21" s="32"/>
      <c r="AO21" s="53"/>
      <c r="AP21" s="54" t="str">
        <f>IFERROR(VLOOKUP(December[[#This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54" t="str">
        <f>IFERROR(VLOOKUP(December[[#This Row],[Drug Name7]],'Data Options'!$R$1:$S$100,2,FALSE), " ")</f>
        <v xml:space="preserve"> </v>
      </c>
      <c r="AZ21" s="32"/>
      <c r="BA21" s="32"/>
      <c r="BB21" s="53"/>
      <c r="BC21" s="54" t="str">
        <f>IFERROR(VLOOKUP(December[[#This Row],[Drug Name8]],'Data Options'!$R$1:$S$100,2,FALSE), " ")</f>
        <v xml:space="preserve"> </v>
      </c>
      <c r="BD21" s="32"/>
      <c r="BE21" s="32"/>
      <c r="BF21" s="53"/>
      <c r="BG21" s="54" t="str">
        <f>IFERROR(VLOOKUP(December[[#This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54" t="str">
        <f>IFERROR(VLOOKUP(December[[#This Row],[Drug Name]],'Data Options'!$R$1:$S$100,2,FALSE), " ")</f>
        <v xml:space="preserve"> </v>
      </c>
      <c r="R22" s="32"/>
      <c r="S22" s="32"/>
      <c r="T22" s="53"/>
      <c r="U22" s="54" t="str">
        <f>IFERROR(VLOOKUP(December[[#This Row],[Drug Name2]],'Data Options'!$R$1:$S$100,2,FALSE), " ")</f>
        <v xml:space="preserve"> </v>
      </c>
      <c r="V22" s="32"/>
      <c r="W22" s="32"/>
      <c r="X22" s="53"/>
      <c r="Y22" s="54" t="str">
        <f>IFERROR(VLOOKUP(December[[#This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54" t="str">
        <f>IFERROR(VLOOKUP(December[[#This Row],[Drug Name4]],'Data Options'!$R$1:$S$100,2,FALSE), " ")</f>
        <v xml:space="preserve"> </v>
      </c>
      <c r="AI22" s="32"/>
      <c r="AJ22" s="32"/>
      <c r="AK22" s="53"/>
      <c r="AL22" s="54" t="str">
        <f>IFERROR(VLOOKUP(December[[#This Row],[Drug Name5]],'Data Options'!$R$1:$S$100,2,FALSE), " ")</f>
        <v xml:space="preserve"> </v>
      </c>
      <c r="AM22" s="32"/>
      <c r="AN22" s="32"/>
      <c r="AO22" s="53"/>
      <c r="AP22" s="54" t="str">
        <f>IFERROR(VLOOKUP(December[[#This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54" t="str">
        <f>IFERROR(VLOOKUP(December[[#This Row],[Drug Name7]],'Data Options'!$R$1:$S$100,2,FALSE), " ")</f>
        <v xml:space="preserve"> </v>
      </c>
      <c r="AZ22" s="32"/>
      <c r="BA22" s="32"/>
      <c r="BB22" s="53"/>
      <c r="BC22" s="54" t="str">
        <f>IFERROR(VLOOKUP(December[[#This Row],[Drug Name8]],'Data Options'!$R$1:$S$100,2,FALSE), " ")</f>
        <v xml:space="preserve"> </v>
      </c>
      <c r="BD22" s="32"/>
      <c r="BE22" s="32"/>
      <c r="BF22" s="53"/>
      <c r="BG22" s="54" t="str">
        <f>IFERROR(VLOOKUP(December[[#This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54" t="str">
        <f>IFERROR(VLOOKUP(December[[#This Row],[Drug Name]],'Data Options'!$R$1:$S$100,2,FALSE), " ")</f>
        <v xml:space="preserve"> </v>
      </c>
      <c r="R23" s="32"/>
      <c r="S23" s="32"/>
      <c r="T23" s="53"/>
      <c r="U23" s="54" t="str">
        <f>IFERROR(VLOOKUP(December[[#This Row],[Drug Name2]],'Data Options'!$R$1:$S$100,2,FALSE), " ")</f>
        <v xml:space="preserve"> </v>
      </c>
      <c r="V23" s="32"/>
      <c r="W23" s="32"/>
      <c r="X23" s="53"/>
      <c r="Y23" s="54" t="str">
        <f>IFERROR(VLOOKUP(December[[#This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54" t="str">
        <f>IFERROR(VLOOKUP(December[[#This Row],[Drug Name4]],'Data Options'!$R$1:$S$100,2,FALSE), " ")</f>
        <v xml:space="preserve"> </v>
      </c>
      <c r="AI23" s="32"/>
      <c r="AJ23" s="32"/>
      <c r="AK23" s="53"/>
      <c r="AL23" s="54" t="str">
        <f>IFERROR(VLOOKUP(December[[#This Row],[Drug Name5]],'Data Options'!$R$1:$S$100,2,FALSE), " ")</f>
        <v xml:space="preserve"> </v>
      </c>
      <c r="AM23" s="32"/>
      <c r="AN23" s="32"/>
      <c r="AO23" s="53"/>
      <c r="AP23" s="54" t="str">
        <f>IFERROR(VLOOKUP(December[[#This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54" t="str">
        <f>IFERROR(VLOOKUP(December[[#This Row],[Drug Name7]],'Data Options'!$R$1:$S$100,2,FALSE), " ")</f>
        <v xml:space="preserve"> </v>
      </c>
      <c r="AZ23" s="32"/>
      <c r="BA23" s="32"/>
      <c r="BB23" s="53"/>
      <c r="BC23" s="54" t="str">
        <f>IFERROR(VLOOKUP(December[[#This Row],[Drug Name8]],'Data Options'!$R$1:$S$100,2,FALSE), " ")</f>
        <v xml:space="preserve"> </v>
      </c>
      <c r="BD23" s="32"/>
      <c r="BE23" s="32"/>
      <c r="BF23" s="53"/>
      <c r="BG23" s="54" t="str">
        <f>IFERROR(VLOOKUP(December[[#This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54" t="str">
        <f>IFERROR(VLOOKUP(December[[#This Row],[Drug Name]],'Data Options'!$R$1:$S$100,2,FALSE), " ")</f>
        <v xml:space="preserve"> </v>
      </c>
      <c r="R24" s="32"/>
      <c r="S24" s="32"/>
      <c r="T24" s="53"/>
      <c r="U24" s="54" t="str">
        <f>IFERROR(VLOOKUP(December[[#This Row],[Drug Name2]],'Data Options'!$R$1:$S$100,2,FALSE), " ")</f>
        <v xml:space="preserve"> </v>
      </c>
      <c r="V24" s="32"/>
      <c r="W24" s="32"/>
      <c r="X24" s="53"/>
      <c r="Y24" s="54" t="str">
        <f>IFERROR(VLOOKUP(December[[#This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54" t="str">
        <f>IFERROR(VLOOKUP(December[[#This Row],[Drug Name4]],'Data Options'!$R$1:$S$100,2,FALSE), " ")</f>
        <v xml:space="preserve"> </v>
      </c>
      <c r="AI24" s="32"/>
      <c r="AJ24" s="32"/>
      <c r="AK24" s="53"/>
      <c r="AL24" s="54" t="str">
        <f>IFERROR(VLOOKUP(December[[#This Row],[Drug Name5]],'Data Options'!$R$1:$S$100,2,FALSE), " ")</f>
        <v xml:space="preserve"> </v>
      </c>
      <c r="AM24" s="32"/>
      <c r="AN24" s="32"/>
      <c r="AO24" s="53"/>
      <c r="AP24" s="54" t="str">
        <f>IFERROR(VLOOKUP(December[[#This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54" t="str">
        <f>IFERROR(VLOOKUP(December[[#This Row],[Drug Name7]],'Data Options'!$R$1:$S$100,2,FALSE), " ")</f>
        <v xml:space="preserve"> </v>
      </c>
      <c r="AZ24" s="32"/>
      <c r="BA24" s="32"/>
      <c r="BB24" s="53"/>
      <c r="BC24" s="54" t="str">
        <f>IFERROR(VLOOKUP(December[[#This Row],[Drug Name8]],'Data Options'!$R$1:$S$100,2,FALSE), " ")</f>
        <v xml:space="preserve"> </v>
      </c>
      <c r="BD24" s="32"/>
      <c r="BE24" s="32"/>
      <c r="BF24" s="53"/>
      <c r="BG24" s="54" t="str">
        <f>IFERROR(VLOOKUP(December[[#This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54" t="str">
        <f>IFERROR(VLOOKUP(December[[#This Row],[Drug Name]],'Data Options'!$R$1:$S$100,2,FALSE), " ")</f>
        <v xml:space="preserve"> </v>
      </c>
      <c r="R25" s="32"/>
      <c r="S25" s="32"/>
      <c r="T25" s="53"/>
      <c r="U25" s="54" t="str">
        <f>IFERROR(VLOOKUP(December[[#This Row],[Drug Name2]],'Data Options'!$R$1:$S$100,2,FALSE), " ")</f>
        <v xml:space="preserve"> </v>
      </c>
      <c r="V25" s="32"/>
      <c r="W25" s="32"/>
      <c r="X25" s="53"/>
      <c r="Y25" s="54" t="str">
        <f>IFERROR(VLOOKUP(December[[#This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54" t="str">
        <f>IFERROR(VLOOKUP(December[[#This Row],[Drug Name4]],'Data Options'!$R$1:$S$100,2,FALSE), " ")</f>
        <v xml:space="preserve"> </v>
      </c>
      <c r="AI25" s="32"/>
      <c r="AJ25" s="32"/>
      <c r="AK25" s="53"/>
      <c r="AL25" s="54" t="str">
        <f>IFERROR(VLOOKUP(December[[#This Row],[Drug Name5]],'Data Options'!$R$1:$S$100,2,FALSE), " ")</f>
        <v xml:space="preserve"> </v>
      </c>
      <c r="AM25" s="32"/>
      <c r="AN25" s="32"/>
      <c r="AO25" s="53"/>
      <c r="AP25" s="54" t="str">
        <f>IFERROR(VLOOKUP(December[[#This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54" t="str">
        <f>IFERROR(VLOOKUP(December[[#This Row],[Drug Name7]],'Data Options'!$R$1:$S$100,2,FALSE), " ")</f>
        <v xml:space="preserve"> </v>
      </c>
      <c r="AZ25" s="32"/>
      <c r="BA25" s="32"/>
      <c r="BB25" s="53"/>
      <c r="BC25" s="54" t="str">
        <f>IFERROR(VLOOKUP(December[[#This Row],[Drug Name8]],'Data Options'!$R$1:$S$100,2,FALSE), " ")</f>
        <v xml:space="preserve"> </v>
      </c>
      <c r="BD25" s="32"/>
      <c r="BE25" s="32"/>
      <c r="BF25" s="53"/>
      <c r="BG25" s="54" t="str">
        <f>IFERROR(VLOOKUP(December[[#This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54" t="str">
        <f>IFERROR(VLOOKUP(December[[#This Row],[Drug Name]],'Data Options'!$R$1:$S$100,2,FALSE), " ")</f>
        <v xml:space="preserve"> </v>
      </c>
      <c r="R26" s="32"/>
      <c r="S26" s="32"/>
      <c r="T26" s="53"/>
      <c r="U26" s="54" t="str">
        <f>IFERROR(VLOOKUP(December[[#This Row],[Drug Name2]],'Data Options'!$R$1:$S$100,2,FALSE), " ")</f>
        <v xml:space="preserve"> </v>
      </c>
      <c r="V26" s="32"/>
      <c r="W26" s="32"/>
      <c r="X26" s="53"/>
      <c r="Y26" s="54" t="str">
        <f>IFERROR(VLOOKUP(December[[#This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54" t="str">
        <f>IFERROR(VLOOKUP(December[[#This Row],[Drug Name4]],'Data Options'!$R$1:$S$100,2,FALSE), " ")</f>
        <v xml:space="preserve"> </v>
      </c>
      <c r="AI26" s="32"/>
      <c r="AJ26" s="32"/>
      <c r="AK26" s="53"/>
      <c r="AL26" s="54" t="str">
        <f>IFERROR(VLOOKUP(December[[#This Row],[Drug Name5]],'Data Options'!$R$1:$S$100,2,FALSE), " ")</f>
        <v xml:space="preserve"> </v>
      </c>
      <c r="AM26" s="32"/>
      <c r="AN26" s="32"/>
      <c r="AO26" s="53"/>
      <c r="AP26" s="54" t="str">
        <f>IFERROR(VLOOKUP(December[[#This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54" t="str">
        <f>IFERROR(VLOOKUP(December[[#This Row],[Drug Name7]],'Data Options'!$R$1:$S$100,2,FALSE), " ")</f>
        <v xml:space="preserve"> </v>
      </c>
      <c r="AZ26" s="32"/>
      <c r="BA26" s="32"/>
      <c r="BB26" s="53"/>
      <c r="BC26" s="54" t="str">
        <f>IFERROR(VLOOKUP(December[[#This Row],[Drug Name8]],'Data Options'!$R$1:$S$100,2,FALSE), " ")</f>
        <v xml:space="preserve"> </v>
      </c>
      <c r="BD26" s="32"/>
      <c r="BE26" s="32"/>
      <c r="BF26" s="53"/>
      <c r="BG26" s="54" t="str">
        <f>IFERROR(VLOOKUP(December[[#This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54" t="str">
        <f>IFERROR(VLOOKUP(December[[#This Row],[Drug Name]],'Data Options'!$R$1:$S$100,2,FALSE), " ")</f>
        <v xml:space="preserve"> </v>
      </c>
      <c r="R27" s="32"/>
      <c r="S27" s="32"/>
      <c r="T27" s="53"/>
      <c r="U27" s="54" t="str">
        <f>IFERROR(VLOOKUP(December[[#This Row],[Drug Name2]],'Data Options'!$R$1:$S$100,2,FALSE), " ")</f>
        <v xml:space="preserve"> </v>
      </c>
      <c r="V27" s="32"/>
      <c r="W27" s="32"/>
      <c r="X27" s="53"/>
      <c r="Y27" s="54" t="str">
        <f>IFERROR(VLOOKUP(December[[#This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54" t="str">
        <f>IFERROR(VLOOKUP(December[[#This Row],[Drug Name4]],'Data Options'!$R$1:$S$100,2,FALSE), " ")</f>
        <v xml:space="preserve"> </v>
      </c>
      <c r="AI27" s="32"/>
      <c r="AJ27" s="32"/>
      <c r="AK27" s="53"/>
      <c r="AL27" s="54" t="str">
        <f>IFERROR(VLOOKUP(December[[#This Row],[Drug Name5]],'Data Options'!$R$1:$S$100,2,FALSE), " ")</f>
        <v xml:space="preserve"> </v>
      </c>
      <c r="AM27" s="32"/>
      <c r="AN27" s="32"/>
      <c r="AO27" s="53"/>
      <c r="AP27" s="54" t="str">
        <f>IFERROR(VLOOKUP(December[[#This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54" t="str">
        <f>IFERROR(VLOOKUP(December[[#This Row],[Drug Name7]],'Data Options'!$R$1:$S$100,2,FALSE), " ")</f>
        <v xml:space="preserve"> </v>
      </c>
      <c r="AZ27" s="32"/>
      <c r="BA27" s="32"/>
      <c r="BB27" s="53"/>
      <c r="BC27" s="54" t="str">
        <f>IFERROR(VLOOKUP(December[[#This Row],[Drug Name8]],'Data Options'!$R$1:$S$100,2,FALSE), " ")</f>
        <v xml:space="preserve"> </v>
      </c>
      <c r="BD27" s="32"/>
      <c r="BE27" s="32"/>
      <c r="BF27" s="53"/>
      <c r="BG27" s="54" t="str">
        <f>IFERROR(VLOOKUP(December[[#This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54" t="str">
        <f>IFERROR(VLOOKUP(December[[#This Row],[Drug Name]],'Data Options'!$R$1:$S$100,2,FALSE), " ")</f>
        <v xml:space="preserve"> </v>
      </c>
      <c r="R28" s="32"/>
      <c r="S28" s="32"/>
      <c r="T28" s="53"/>
      <c r="U28" s="54" t="str">
        <f>IFERROR(VLOOKUP(December[[#This Row],[Drug Name2]],'Data Options'!$R$1:$S$100,2,FALSE), " ")</f>
        <v xml:space="preserve"> </v>
      </c>
      <c r="V28" s="32"/>
      <c r="W28" s="32"/>
      <c r="X28" s="53"/>
      <c r="Y28" s="54" t="str">
        <f>IFERROR(VLOOKUP(December[[#This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54" t="str">
        <f>IFERROR(VLOOKUP(December[[#This Row],[Drug Name4]],'Data Options'!$R$1:$S$100,2,FALSE), " ")</f>
        <v xml:space="preserve"> </v>
      </c>
      <c r="AI28" s="32"/>
      <c r="AJ28" s="32"/>
      <c r="AK28" s="53"/>
      <c r="AL28" s="54" t="str">
        <f>IFERROR(VLOOKUP(December[[#This Row],[Drug Name5]],'Data Options'!$R$1:$S$100,2,FALSE), " ")</f>
        <v xml:space="preserve"> </v>
      </c>
      <c r="AM28" s="32"/>
      <c r="AN28" s="32"/>
      <c r="AO28" s="53"/>
      <c r="AP28" s="54" t="str">
        <f>IFERROR(VLOOKUP(December[[#This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54" t="str">
        <f>IFERROR(VLOOKUP(December[[#This Row],[Drug Name7]],'Data Options'!$R$1:$S$100,2,FALSE), " ")</f>
        <v xml:space="preserve"> </v>
      </c>
      <c r="AZ28" s="32"/>
      <c r="BA28" s="32"/>
      <c r="BB28" s="53"/>
      <c r="BC28" s="54" t="str">
        <f>IFERROR(VLOOKUP(December[[#This Row],[Drug Name8]],'Data Options'!$R$1:$S$100,2,FALSE), " ")</f>
        <v xml:space="preserve"> </v>
      </c>
      <c r="BD28" s="32"/>
      <c r="BE28" s="32"/>
      <c r="BF28" s="53"/>
      <c r="BG28" s="54" t="str">
        <f>IFERROR(VLOOKUP(December[[#This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54" t="str">
        <f>IFERROR(VLOOKUP(December[[#This Row],[Drug Name]],'Data Options'!$R$1:$S$100,2,FALSE), " ")</f>
        <v xml:space="preserve"> </v>
      </c>
      <c r="R29" s="32"/>
      <c r="S29" s="32"/>
      <c r="T29" s="53"/>
      <c r="U29" s="54" t="str">
        <f>IFERROR(VLOOKUP(December[[#This Row],[Drug Name2]],'Data Options'!$R$1:$S$100,2,FALSE), " ")</f>
        <v xml:space="preserve"> </v>
      </c>
      <c r="V29" s="32"/>
      <c r="W29" s="32"/>
      <c r="X29" s="53"/>
      <c r="Y29" s="54" t="str">
        <f>IFERROR(VLOOKUP(December[[#This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54" t="str">
        <f>IFERROR(VLOOKUP(December[[#This Row],[Drug Name4]],'Data Options'!$R$1:$S$100,2,FALSE), " ")</f>
        <v xml:space="preserve"> </v>
      </c>
      <c r="AI29" s="32"/>
      <c r="AJ29" s="32"/>
      <c r="AK29" s="53"/>
      <c r="AL29" s="54" t="str">
        <f>IFERROR(VLOOKUP(December[[#This Row],[Drug Name5]],'Data Options'!$R$1:$S$100,2,FALSE), " ")</f>
        <v xml:space="preserve"> </v>
      </c>
      <c r="AM29" s="32"/>
      <c r="AN29" s="32"/>
      <c r="AO29" s="53"/>
      <c r="AP29" s="54" t="str">
        <f>IFERROR(VLOOKUP(December[[#This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54" t="str">
        <f>IFERROR(VLOOKUP(December[[#This Row],[Drug Name7]],'Data Options'!$R$1:$S$100,2,FALSE), " ")</f>
        <v xml:space="preserve"> </v>
      </c>
      <c r="AZ29" s="32"/>
      <c r="BA29" s="32"/>
      <c r="BB29" s="53"/>
      <c r="BC29" s="54" t="str">
        <f>IFERROR(VLOOKUP(December[[#This Row],[Drug Name8]],'Data Options'!$R$1:$S$100,2,FALSE), " ")</f>
        <v xml:space="preserve"> </v>
      </c>
      <c r="BD29" s="32"/>
      <c r="BE29" s="32"/>
      <c r="BF29" s="53"/>
      <c r="BG29" s="54" t="str">
        <f>IFERROR(VLOOKUP(December[[#This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54" t="str">
        <f>IFERROR(VLOOKUP(December[[#This Row],[Drug Name]],'Data Options'!$R$1:$S$100,2,FALSE), " ")</f>
        <v xml:space="preserve"> </v>
      </c>
      <c r="R30" s="32"/>
      <c r="S30" s="32"/>
      <c r="T30" s="53"/>
      <c r="U30" s="54" t="str">
        <f>IFERROR(VLOOKUP(December[[#This Row],[Drug Name2]],'Data Options'!$R$1:$S$100,2,FALSE), " ")</f>
        <v xml:space="preserve"> </v>
      </c>
      <c r="V30" s="32"/>
      <c r="W30" s="32"/>
      <c r="X30" s="53"/>
      <c r="Y30" s="54" t="str">
        <f>IFERROR(VLOOKUP(December[[#This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54" t="str">
        <f>IFERROR(VLOOKUP(December[[#This Row],[Drug Name4]],'Data Options'!$R$1:$S$100,2,FALSE), " ")</f>
        <v xml:space="preserve"> </v>
      </c>
      <c r="AI30" s="32"/>
      <c r="AJ30" s="32"/>
      <c r="AK30" s="53"/>
      <c r="AL30" s="54" t="str">
        <f>IFERROR(VLOOKUP(December[[#This Row],[Drug Name5]],'Data Options'!$R$1:$S$100,2,FALSE), " ")</f>
        <v xml:space="preserve"> </v>
      </c>
      <c r="AM30" s="32"/>
      <c r="AN30" s="32"/>
      <c r="AO30" s="53"/>
      <c r="AP30" s="54" t="str">
        <f>IFERROR(VLOOKUP(December[[#This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54" t="str">
        <f>IFERROR(VLOOKUP(December[[#This Row],[Drug Name7]],'Data Options'!$R$1:$S$100,2,FALSE), " ")</f>
        <v xml:space="preserve"> </v>
      </c>
      <c r="AZ30" s="32"/>
      <c r="BA30" s="32"/>
      <c r="BB30" s="53"/>
      <c r="BC30" s="54" t="str">
        <f>IFERROR(VLOOKUP(December[[#This Row],[Drug Name8]],'Data Options'!$R$1:$S$100,2,FALSE), " ")</f>
        <v xml:space="preserve"> </v>
      </c>
      <c r="BD30" s="32"/>
      <c r="BE30" s="32"/>
      <c r="BF30" s="53"/>
      <c r="BG30" s="54" t="str">
        <f>IFERROR(VLOOKUP(December[[#This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54" t="str">
        <f>IFERROR(VLOOKUP(December[[#This Row],[Drug Name]],'Data Options'!$R$1:$S$100,2,FALSE), " ")</f>
        <v xml:space="preserve"> </v>
      </c>
      <c r="R31" s="32"/>
      <c r="S31" s="32"/>
      <c r="T31" s="53"/>
      <c r="U31" s="54" t="str">
        <f>IFERROR(VLOOKUP(December[[#This Row],[Drug Name2]],'Data Options'!$R$1:$S$100,2,FALSE), " ")</f>
        <v xml:space="preserve"> </v>
      </c>
      <c r="V31" s="32"/>
      <c r="W31" s="32"/>
      <c r="X31" s="53"/>
      <c r="Y31" s="54" t="str">
        <f>IFERROR(VLOOKUP(December[[#This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54" t="str">
        <f>IFERROR(VLOOKUP(December[[#This Row],[Drug Name4]],'Data Options'!$R$1:$S$100,2,FALSE), " ")</f>
        <v xml:space="preserve"> </v>
      </c>
      <c r="AI31" s="32"/>
      <c r="AJ31" s="32"/>
      <c r="AK31" s="53"/>
      <c r="AL31" s="54" t="str">
        <f>IFERROR(VLOOKUP(December[[#This Row],[Drug Name5]],'Data Options'!$R$1:$S$100,2,FALSE), " ")</f>
        <v xml:space="preserve"> </v>
      </c>
      <c r="AM31" s="32"/>
      <c r="AN31" s="32"/>
      <c r="AO31" s="53"/>
      <c r="AP31" s="54" t="str">
        <f>IFERROR(VLOOKUP(December[[#This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54" t="str">
        <f>IFERROR(VLOOKUP(December[[#This Row],[Drug Name7]],'Data Options'!$R$1:$S$100,2,FALSE), " ")</f>
        <v xml:space="preserve"> </v>
      </c>
      <c r="AZ31" s="32"/>
      <c r="BA31" s="32"/>
      <c r="BB31" s="53"/>
      <c r="BC31" s="54" t="str">
        <f>IFERROR(VLOOKUP(December[[#This Row],[Drug Name8]],'Data Options'!$R$1:$S$100,2,FALSE), " ")</f>
        <v xml:space="preserve"> </v>
      </c>
      <c r="BD31" s="32"/>
      <c r="BE31" s="32"/>
      <c r="BF31" s="53"/>
      <c r="BG31" s="54" t="str">
        <f>IFERROR(VLOOKUP(December[[#This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54" t="str">
        <f>IFERROR(VLOOKUP(December[[#This Row],[Drug Name]],'Data Options'!$R$1:$S$100,2,FALSE), " ")</f>
        <v xml:space="preserve"> </v>
      </c>
      <c r="R32" s="32"/>
      <c r="S32" s="32"/>
      <c r="T32" s="53"/>
      <c r="U32" s="54" t="str">
        <f>IFERROR(VLOOKUP(December[[#This Row],[Drug Name2]],'Data Options'!$R$1:$S$100,2,FALSE), " ")</f>
        <v xml:space="preserve"> </v>
      </c>
      <c r="V32" s="32"/>
      <c r="W32" s="32"/>
      <c r="X32" s="53"/>
      <c r="Y32" s="54" t="str">
        <f>IFERROR(VLOOKUP(December[[#This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54" t="str">
        <f>IFERROR(VLOOKUP(December[[#This Row],[Drug Name4]],'Data Options'!$R$1:$S$100,2,FALSE), " ")</f>
        <v xml:space="preserve"> </v>
      </c>
      <c r="AI32" s="32"/>
      <c r="AJ32" s="32"/>
      <c r="AK32" s="53"/>
      <c r="AL32" s="54" t="str">
        <f>IFERROR(VLOOKUP(December[[#This Row],[Drug Name5]],'Data Options'!$R$1:$S$100,2,FALSE), " ")</f>
        <v xml:space="preserve"> </v>
      </c>
      <c r="AM32" s="32"/>
      <c r="AN32" s="32"/>
      <c r="AO32" s="53"/>
      <c r="AP32" s="54" t="str">
        <f>IFERROR(VLOOKUP(December[[#This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54" t="str">
        <f>IFERROR(VLOOKUP(December[[#This Row],[Drug Name7]],'Data Options'!$R$1:$S$100,2,FALSE), " ")</f>
        <v xml:space="preserve"> </v>
      </c>
      <c r="AZ32" s="32"/>
      <c r="BA32" s="32"/>
      <c r="BB32" s="53"/>
      <c r="BC32" s="54" t="str">
        <f>IFERROR(VLOOKUP(December[[#This Row],[Drug Name8]],'Data Options'!$R$1:$S$100,2,FALSE), " ")</f>
        <v xml:space="preserve"> </v>
      </c>
      <c r="BD32" s="32"/>
      <c r="BE32" s="32"/>
      <c r="BF32" s="53"/>
      <c r="BG32" s="54" t="str">
        <f>IFERROR(VLOOKUP(December[[#This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54" t="str">
        <f>IFERROR(VLOOKUP(December[[#This Row],[Drug Name]],'Data Options'!$R$1:$S$100,2,FALSE), " ")</f>
        <v xml:space="preserve"> </v>
      </c>
      <c r="R33" s="32"/>
      <c r="S33" s="32"/>
      <c r="T33" s="53"/>
      <c r="U33" s="54" t="str">
        <f>IFERROR(VLOOKUP(December[[#This Row],[Drug Name2]],'Data Options'!$R$1:$S$100,2,FALSE), " ")</f>
        <v xml:space="preserve"> </v>
      </c>
      <c r="V33" s="32"/>
      <c r="W33" s="32"/>
      <c r="X33" s="53"/>
      <c r="Y33" s="54" t="str">
        <f>IFERROR(VLOOKUP(December[[#This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54" t="str">
        <f>IFERROR(VLOOKUP(December[[#This Row],[Drug Name4]],'Data Options'!$R$1:$S$100,2,FALSE), " ")</f>
        <v xml:space="preserve"> </v>
      </c>
      <c r="AI33" s="32"/>
      <c r="AJ33" s="32"/>
      <c r="AK33" s="53"/>
      <c r="AL33" s="54" t="str">
        <f>IFERROR(VLOOKUP(December[[#This Row],[Drug Name5]],'Data Options'!$R$1:$S$100,2,FALSE), " ")</f>
        <v xml:space="preserve"> </v>
      </c>
      <c r="AM33" s="32"/>
      <c r="AN33" s="32"/>
      <c r="AO33" s="53"/>
      <c r="AP33" s="54" t="str">
        <f>IFERROR(VLOOKUP(December[[#This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54" t="str">
        <f>IFERROR(VLOOKUP(December[[#This Row],[Drug Name7]],'Data Options'!$R$1:$S$100,2,FALSE), " ")</f>
        <v xml:space="preserve"> </v>
      </c>
      <c r="AZ33" s="32"/>
      <c r="BA33" s="32"/>
      <c r="BB33" s="53"/>
      <c r="BC33" s="54" t="str">
        <f>IFERROR(VLOOKUP(December[[#This Row],[Drug Name8]],'Data Options'!$R$1:$S$100,2,FALSE), " ")</f>
        <v xml:space="preserve"> </v>
      </c>
      <c r="BD33" s="32"/>
      <c r="BE33" s="32"/>
      <c r="BF33" s="53"/>
      <c r="BG33" s="54" t="str">
        <f>IFERROR(VLOOKUP(December[[#This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54" t="str">
        <f>IFERROR(VLOOKUP(December[[#This Row],[Drug Name]],'Data Options'!$R$1:$S$100,2,FALSE), " ")</f>
        <v xml:space="preserve"> </v>
      </c>
      <c r="R34" s="32"/>
      <c r="S34" s="32"/>
      <c r="T34" s="53"/>
      <c r="U34" s="54" t="str">
        <f>IFERROR(VLOOKUP(December[[#This Row],[Drug Name2]],'Data Options'!$R$1:$S$100,2,FALSE), " ")</f>
        <v xml:space="preserve"> </v>
      </c>
      <c r="V34" s="32"/>
      <c r="W34" s="32"/>
      <c r="X34" s="53"/>
      <c r="Y34" s="54" t="str">
        <f>IFERROR(VLOOKUP(December[[#This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54" t="str">
        <f>IFERROR(VLOOKUP(December[[#This Row],[Drug Name4]],'Data Options'!$R$1:$S$100,2,FALSE), " ")</f>
        <v xml:space="preserve"> </v>
      </c>
      <c r="AI34" s="32"/>
      <c r="AJ34" s="32"/>
      <c r="AK34" s="53"/>
      <c r="AL34" s="54" t="str">
        <f>IFERROR(VLOOKUP(December[[#This Row],[Drug Name5]],'Data Options'!$R$1:$S$100,2,FALSE), " ")</f>
        <v xml:space="preserve"> </v>
      </c>
      <c r="AM34" s="32"/>
      <c r="AN34" s="32"/>
      <c r="AO34" s="53"/>
      <c r="AP34" s="54" t="str">
        <f>IFERROR(VLOOKUP(December[[#This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54" t="str">
        <f>IFERROR(VLOOKUP(December[[#This Row],[Drug Name7]],'Data Options'!$R$1:$S$100,2,FALSE), " ")</f>
        <v xml:space="preserve"> </v>
      </c>
      <c r="AZ34" s="32"/>
      <c r="BA34" s="32"/>
      <c r="BB34" s="53"/>
      <c r="BC34" s="54" t="str">
        <f>IFERROR(VLOOKUP(December[[#This Row],[Drug Name8]],'Data Options'!$R$1:$S$100,2,FALSE), " ")</f>
        <v xml:space="preserve"> </v>
      </c>
      <c r="BD34" s="32"/>
      <c r="BE34" s="32"/>
      <c r="BF34" s="53"/>
      <c r="BG34" s="54" t="str">
        <f>IFERROR(VLOOKUP(December[[#This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54" t="str">
        <f>IFERROR(VLOOKUP(December[[#This Row],[Drug Name]],'Data Options'!$R$1:$S$100,2,FALSE), " ")</f>
        <v xml:space="preserve"> </v>
      </c>
      <c r="R35" s="32"/>
      <c r="S35" s="32"/>
      <c r="T35" s="53"/>
      <c r="U35" s="54" t="str">
        <f>IFERROR(VLOOKUP(December[[#This Row],[Drug Name2]],'Data Options'!$R$1:$S$100,2,FALSE), " ")</f>
        <v xml:space="preserve"> </v>
      </c>
      <c r="V35" s="32"/>
      <c r="W35" s="32"/>
      <c r="X35" s="53"/>
      <c r="Y35" s="54" t="str">
        <f>IFERROR(VLOOKUP(December[[#This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54" t="str">
        <f>IFERROR(VLOOKUP(December[[#This Row],[Drug Name4]],'Data Options'!$R$1:$S$100,2,FALSE), " ")</f>
        <v xml:space="preserve"> </v>
      </c>
      <c r="AI35" s="32"/>
      <c r="AJ35" s="32"/>
      <c r="AK35" s="53"/>
      <c r="AL35" s="54" t="str">
        <f>IFERROR(VLOOKUP(December[[#This Row],[Drug Name5]],'Data Options'!$R$1:$S$100,2,FALSE), " ")</f>
        <v xml:space="preserve"> </v>
      </c>
      <c r="AM35" s="32"/>
      <c r="AN35" s="32"/>
      <c r="AO35" s="53"/>
      <c r="AP35" s="54" t="str">
        <f>IFERROR(VLOOKUP(December[[#This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54" t="str">
        <f>IFERROR(VLOOKUP(December[[#This Row],[Drug Name7]],'Data Options'!$R$1:$S$100,2,FALSE), " ")</f>
        <v xml:space="preserve"> </v>
      </c>
      <c r="AZ35" s="32"/>
      <c r="BA35" s="32"/>
      <c r="BB35" s="53"/>
      <c r="BC35" s="54" t="str">
        <f>IFERROR(VLOOKUP(December[[#This Row],[Drug Name8]],'Data Options'!$R$1:$S$100,2,FALSE), " ")</f>
        <v xml:space="preserve"> </v>
      </c>
      <c r="BD35" s="32"/>
      <c r="BE35" s="32"/>
      <c r="BF35" s="53"/>
      <c r="BG35" s="54" t="str">
        <f>IFERROR(VLOOKUP(December[[#This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54" t="str">
        <f>IFERROR(VLOOKUP(December[[#This Row],[Drug Name]],'Data Options'!$R$1:$S$100,2,FALSE), " ")</f>
        <v xml:space="preserve"> </v>
      </c>
      <c r="R36" s="32"/>
      <c r="S36" s="32"/>
      <c r="T36" s="53"/>
      <c r="U36" s="54" t="str">
        <f>IFERROR(VLOOKUP(December[[#This Row],[Drug Name2]],'Data Options'!$R$1:$S$100,2,FALSE), " ")</f>
        <v xml:space="preserve"> </v>
      </c>
      <c r="V36" s="32"/>
      <c r="W36" s="32"/>
      <c r="X36" s="53"/>
      <c r="Y36" s="54" t="str">
        <f>IFERROR(VLOOKUP(December[[#This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54" t="str">
        <f>IFERROR(VLOOKUP(December[[#This Row],[Drug Name4]],'Data Options'!$R$1:$S$100,2,FALSE), " ")</f>
        <v xml:space="preserve"> </v>
      </c>
      <c r="AI36" s="32"/>
      <c r="AJ36" s="32"/>
      <c r="AK36" s="53"/>
      <c r="AL36" s="54" t="str">
        <f>IFERROR(VLOOKUP(December[[#This Row],[Drug Name5]],'Data Options'!$R$1:$S$100,2,FALSE), " ")</f>
        <v xml:space="preserve"> </v>
      </c>
      <c r="AM36" s="32"/>
      <c r="AN36" s="32"/>
      <c r="AO36" s="53"/>
      <c r="AP36" s="54" t="str">
        <f>IFERROR(VLOOKUP(December[[#This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54" t="str">
        <f>IFERROR(VLOOKUP(December[[#This Row],[Drug Name7]],'Data Options'!$R$1:$S$100,2,FALSE), " ")</f>
        <v xml:space="preserve"> </v>
      </c>
      <c r="AZ36" s="32"/>
      <c r="BA36" s="32"/>
      <c r="BB36" s="53"/>
      <c r="BC36" s="54" t="str">
        <f>IFERROR(VLOOKUP(December[[#This Row],[Drug Name8]],'Data Options'!$R$1:$S$100,2,FALSE), " ")</f>
        <v xml:space="preserve"> </v>
      </c>
      <c r="BD36" s="32"/>
      <c r="BE36" s="32"/>
      <c r="BF36" s="53"/>
      <c r="BG36" s="54" t="str">
        <f>IFERROR(VLOOKUP(December[[#This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54" t="str">
        <f>IFERROR(VLOOKUP(December[[#This Row],[Drug Name]],'Data Options'!$R$1:$S$100,2,FALSE), " ")</f>
        <v xml:space="preserve"> </v>
      </c>
      <c r="R37" s="32"/>
      <c r="S37" s="32"/>
      <c r="T37" s="53"/>
      <c r="U37" s="54" t="str">
        <f>IFERROR(VLOOKUP(December[[#This Row],[Drug Name2]],'Data Options'!$R$1:$S$100,2,FALSE), " ")</f>
        <v xml:space="preserve"> </v>
      </c>
      <c r="V37" s="32"/>
      <c r="W37" s="32"/>
      <c r="X37" s="53"/>
      <c r="Y37" s="54" t="str">
        <f>IFERROR(VLOOKUP(December[[#This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54" t="str">
        <f>IFERROR(VLOOKUP(December[[#This Row],[Drug Name4]],'Data Options'!$R$1:$S$100,2,FALSE), " ")</f>
        <v xml:space="preserve"> </v>
      </c>
      <c r="AI37" s="32"/>
      <c r="AJ37" s="32"/>
      <c r="AK37" s="53"/>
      <c r="AL37" s="54" t="str">
        <f>IFERROR(VLOOKUP(December[[#This Row],[Drug Name5]],'Data Options'!$R$1:$S$100,2,FALSE), " ")</f>
        <v xml:space="preserve"> </v>
      </c>
      <c r="AM37" s="32"/>
      <c r="AN37" s="32"/>
      <c r="AO37" s="53"/>
      <c r="AP37" s="54" t="str">
        <f>IFERROR(VLOOKUP(December[[#This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54" t="str">
        <f>IFERROR(VLOOKUP(December[[#This Row],[Drug Name7]],'Data Options'!$R$1:$S$100,2,FALSE), " ")</f>
        <v xml:space="preserve"> </v>
      </c>
      <c r="AZ37" s="32"/>
      <c r="BA37" s="32"/>
      <c r="BB37" s="53"/>
      <c r="BC37" s="54" t="str">
        <f>IFERROR(VLOOKUP(December[[#This Row],[Drug Name8]],'Data Options'!$R$1:$S$100,2,FALSE), " ")</f>
        <v xml:space="preserve"> </v>
      </c>
      <c r="BD37" s="32"/>
      <c r="BE37" s="32"/>
      <c r="BF37" s="53"/>
      <c r="BG37" s="54" t="str">
        <f>IFERROR(VLOOKUP(December[[#This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54" t="str">
        <f>IFERROR(VLOOKUP(December[[#This Row],[Drug Name]],'Data Options'!$R$1:$S$100,2,FALSE), " ")</f>
        <v xml:space="preserve"> </v>
      </c>
      <c r="R38" s="32"/>
      <c r="S38" s="32"/>
      <c r="T38" s="53"/>
      <c r="U38" s="54" t="str">
        <f>IFERROR(VLOOKUP(December[[#This Row],[Drug Name2]],'Data Options'!$R$1:$S$100,2,FALSE), " ")</f>
        <v xml:space="preserve"> </v>
      </c>
      <c r="V38" s="32"/>
      <c r="W38" s="32"/>
      <c r="X38" s="53"/>
      <c r="Y38" s="54" t="str">
        <f>IFERROR(VLOOKUP(December[[#This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54" t="str">
        <f>IFERROR(VLOOKUP(December[[#This Row],[Drug Name4]],'Data Options'!$R$1:$S$100,2,FALSE), " ")</f>
        <v xml:space="preserve"> </v>
      </c>
      <c r="AI38" s="32"/>
      <c r="AJ38" s="32"/>
      <c r="AK38" s="53"/>
      <c r="AL38" s="54" t="str">
        <f>IFERROR(VLOOKUP(December[[#This Row],[Drug Name5]],'Data Options'!$R$1:$S$100,2,FALSE), " ")</f>
        <v xml:space="preserve"> </v>
      </c>
      <c r="AM38" s="32"/>
      <c r="AN38" s="32"/>
      <c r="AO38" s="53"/>
      <c r="AP38" s="54" t="str">
        <f>IFERROR(VLOOKUP(December[[#This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54" t="str">
        <f>IFERROR(VLOOKUP(December[[#This Row],[Drug Name7]],'Data Options'!$R$1:$S$100,2,FALSE), " ")</f>
        <v xml:space="preserve"> </v>
      </c>
      <c r="AZ38" s="32"/>
      <c r="BA38" s="32"/>
      <c r="BB38" s="53"/>
      <c r="BC38" s="54" t="str">
        <f>IFERROR(VLOOKUP(December[[#This Row],[Drug Name8]],'Data Options'!$R$1:$S$100,2,FALSE), " ")</f>
        <v xml:space="preserve"> </v>
      </c>
      <c r="BD38" s="32"/>
      <c r="BE38" s="32"/>
      <c r="BF38" s="53"/>
      <c r="BG38" s="54" t="str">
        <f>IFERROR(VLOOKUP(December[[#This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54" t="str">
        <f>IFERROR(VLOOKUP(December[[#This Row],[Drug Name]],'Data Options'!$R$1:$S$100,2,FALSE), " ")</f>
        <v xml:space="preserve"> </v>
      </c>
      <c r="R39" s="32"/>
      <c r="S39" s="32"/>
      <c r="T39" s="53"/>
      <c r="U39" s="54" t="str">
        <f>IFERROR(VLOOKUP(December[[#This Row],[Drug Name2]],'Data Options'!$R$1:$S$100,2,FALSE), " ")</f>
        <v xml:space="preserve"> </v>
      </c>
      <c r="V39" s="32"/>
      <c r="W39" s="32"/>
      <c r="X39" s="53"/>
      <c r="Y39" s="54" t="str">
        <f>IFERROR(VLOOKUP(December[[#This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54" t="str">
        <f>IFERROR(VLOOKUP(December[[#This Row],[Drug Name4]],'Data Options'!$R$1:$S$100,2,FALSE), " ")</f>
        <v xml:space="preserve"> </v>
      </c>
      <c r="AI39" s="32"/>
      <c r="AJ39" s="32"/>
      <c r="AK39" s="53"/>
      <c r="AL39" s="54" t="str">
        <f>IFERROR(VLOOKUP(December[[#This Row],[Drug Name5]],'Data Options'!$R$1:$S$100,2,FALSE), " ")</f>
        <v xml:space="preserve"> </v>
      </c>
      <c r="AM39" s="32"/>
      <c r="AN39" s="32"/>
      <c r="AO39" s="53"/>
      <c r="AP39" s="54" t="str">
        <f>IFERROR(VLOOKUP(December[[#This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54" t="str">
        <f>IFERROR(VLOOKUP(December[[#This Row],[Drug Name7]],'Data Options'!$R$1:$S$100,2,FALSE), " ")</f>
        <v xml:space="preserve"> </v>
      </c>
      <c r="AZ39" s="32"/>
      <c r="BA39" s="32"/>
      <c r="BB39" s="53"/>
      <c r="BC39" s="54" t="str">
        <f>IFERROR(VLOOKUP(December[[#This Row],[Drug Name8]],'Data Options'!$R$1:$S$100,2,FALSE), " ")</f>
        <v xml:space="preserve"> </v>
      </c>
      <c r="BD39" s="32"/>
      <c r="BE39" s="32"/>
      <c r="BF39" s="53"/>
      <c r="BG39" s="54" t="str">
        <f>IFERROR(VLOOKUP(December[[#This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54" t="str">
        <f>IFERROR(VLOOKUP(December[[#This Row],[Drug Name]],'Data Options'!$R$1:$S$100,2,FALSE), " ")</f>
        <v xml:space="preserve"> </v>
      </c>
      <c r="R40" s="32"/>
      <c r="S40" s="32"/>
      <c r="T40" s="53"/>
      <c r="U40" s="54" t="str">
        <f>IFERROR(VLOOKUP(December[[#This Row],[Drug Name2]],'Data Options'!$R$1:$S$100,2,FALSE), " ")</f>
        <v xml:space="preserve"> </v>
      </c>
      <c r="V40" s="32"/>
      <c r="W40" s="32"/>
      <c r="X40" s="53"/>
      <c r="Y40" s="54" t="str">
        <f>IFERROR(VLOOKUP(December[[#This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54" t="str">
        <f>IFERROR(VLOOKUP(December[[#This Row],[Drug Name4]],'Data Options'!$R$1:$S$100,2,FALSE), " ")</f>
        <v xml:space="preserve"> </v>
      </c>
      <c r="AI40" s="32"/>
      <c r="AJ40" s="32"/>
      <c r="AK40" s="53"/>
      <c r="AL40" s="54" t="str">
        <f>IFERROR(VLOOKUP(December[[#This Row],[Drug Name5]],'Data Options'!$R$1:$S$100,2,FALSE), " ")</f>
        <v xml:space="preserve"> </v>
      </c>
      <c r="AM40" s="32"/>
      <c r="AN40" s="32"/>
      <c r="AO40" s="53"/>
      <c r="AP40" s="54" t="str">
        <f>IFERROR(VLOOKUP(December[[#This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54" t="str">
        <f>IFERROR(VLOOKUP(December[[#This Row],[Drug Name7]],'Data Options'!$R$1:$S$100,2,FALSE), " ")</f>
        <v xml:space="preserve"> </v>
      </c>
      <c r="AZ40" s="32"/>
      <c r="BA40" s="32"/>
      <c r="BB40" s="53"/>
      <c r="BC40" s="54" t="str">
        <f>IFERROR(VLOOKUP(December[[#This Row],[Drug Name8]],'Data Options'!$R$1:$S$100,2,FALSE), " ")</f>
        <v xml:space="preserve"> </v>
      </c>
      <c r="BD40" s="32"/>
      <c r="BE40" s="32"/>
      <c r="BF40" s="53"/>
      <c r="BG40" s="54" t="str">
        <f>IFERROR(VLOOKUP(December[[#This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54" t="str">
        <f>IFERROR(VLOOKUP(December[[#This Row],[Drug Name]],'Data Options'!$R$1:$S$100,2,FALSE), " ")</f>
        <v xml:space="preserve"> </v>
      </c>
      <c r="R41" s="32"/>
      <c r="S41" s="32"/>
      <c r="T41" s="53"/>
      <c r="U41" s="54" t="str">
        <f>IFERROR(VLOOKUP(December[[#This Row],[Drug Name2]],'Data Options'!$R$1:$S$100,2,FALSE), " ")</f>
        <v xml:space="preserve"> </v>
      </c>
      <c r="V41" s="32"/>
      <c r="W41" s="32"/>
      <c r="X41" s="53"/>
      <c r="Y41" s="54" t="str">
        <f>IFERROR(VLOOKUP(December[[#This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54" t="str">
        <f>IFERROR(VLOOKUP(December[[#This Row],[Drug Name4]],'Data Options'!$R$1:$S$100,2,FALSE), " ")</f>
        <v xml:space="preserve"> </v>
      </c>
      <c r="AI41" s="32"/>
      <c r="AJ41" s="32"/>
      <c r="AK41" s="53"/>
      <c r="AL41" s="54" t="str">
        <f>IFERROR(VLOOKUP(December[[#This Row],[Drug Name5]],'Data Options'!$R$1:$S$100,2,FALSE), " ")</f>
        <v xml:space="preserve"> </v>
      </c>
      <c r="AM41" s="32"/>
      <c r="AN41" s="32"/>
      <c r="AO41" s="53"/>
      <c r="AP41" s="54" t="str">
        <f>IFERROR(VLOOKUP(December[[#This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54" t="str">
        <f>IFERROR(VLOOKUP(December[[#This Row],[Drug Name7]],'Data Options'!$R$1:$S$100,2,FALSE), " ")</f>
        <v xml:space="preserve"> </v>
      </c>
      <c r="AZ41" s="32"/>
      <c r="BA41" s="32"/>
      <c r="BB41" s="53"/>
      <c r="BC41" s="54" t="str">
        <f>IFERROR(VLOOKUP(December[[#This Row],[Drug Name8]],'Data Options'!$R$1:$S$100,2,FALSE), " ")</f>
        <v xml:space="preserve"> </v>
      </c>
      <c r="BD41" s="32"/>
      <c r="BE41" s="32"/>
      <c r="BF41" s="53"/>
      <c r="BG41" s="54" t="str">
        <f>IFERROR(VLOOKUP(December[[#This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54" t="str">
        <f>IFERROR(VLOOKUP(December[[#This Row],[Drug Name]],'Data Options'!$R$1:$S$100,2,FALSE), " ")</f>
        <v xml:space="preserve"> </v>
      </c>
      <c r="R42" s="32"/>
      <c r="S42" s="32"/>
      <c r="T42" s="53"/>
      <c r="U42" s="54" t="str">
        <f>IFERROR(VLOOKUP(December[[#This Row],[Drug Name2]],'Data Options'!$R$1:$S$100,2,FALSE), " ")</f>
        <v xml:space="preserve"> </v>
      </c>
      <c r="V42" s="32"/>
      <c r="W42" s="32"/>
      <c r="X42" s="53"/>
      <c r="Y42" s="54" t="str">
        <f>IFERROR(VLOOKUP(December[[#This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54" t="str">
        <f>IFERROR(VLOOKUP(December[[#This Row],[Drug Name4]],'Data Options'!$R$1:$S$100,2,FALSE), " ")</f>
        <v xml:space="preserve"> </v>
      </c>
      <c r="AI42" s="32"/>
      <c r="AJ42" s="32"/>
      <c r="AK42" s="53"/>
      <c r="AL42" s="54" t="str">
        <f>IFERROR(VLOOKUP(December[[#This Row],[Drug Name5]],'Data Options'!$R$1:$S$100,2,FALSE), " ")</f>
        <v xml:space="preserve"> </v>
      </c>
      <c r="AM42" s="32"/>
      <c r="AN42" s="32"/>
      <c r="AO42" s="53"/>
      <c r="AP42" s="54" t="str">
        <f>IFERROR(VLOOKUP(December[[#This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54" t="str">
        <f>IFERROR(VLOOKUP(December[[#This Row],[Drug Name7]],'Data Options'!$R$1:$S$100,2,FALSE), " ")</f>
        <v xml:space="preserve"> </v>
      </c>
      <c r="AZ42" s="32"/>
      <c r="BA42" s="32"/>
      <c r="BB42" s="53"/>
      <c r="BC42" s="54" t="str">
        <f>IFERROR(VLOOKUP(December[[#This Row],[Drug Name8]],'Data Options'!$R$1:$S$100,2,FALSE), " ")</f>
        <v xml:space="preserve"> </v>
      </c>
      <c r="BD42" s="32"/>
      <c r="BE42" s="32"/>
      <c r="BF42" s="53"/>
      <c r="BG42" s="54" t="str">
        <f>IFERROR(VLOOKUP(December[[#This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54" t="str">
        <f>IFERROR(VLOOKUP(December[[#This Row],[Drug Name]],'Data Options'!$R$1:$S$100,2,FALSE), " ")</f>
        <v xml:space="preserve"> </v>
      </c>
      <c r="R43" s="32"/>
      <c r="S43" s="32"/>
      <c r="T43" s="53"/>
      <c r="U43" s="54" t="str">
        <f>IFERROR(VLOOKUP(December[[#This Row],[Drug Name2]],'Data Options'!$R$1:$S$100,2,FALSE), " ")</f>
        <v xml:space="preserve"> </v>
      </c>
      <c r="V43" s="32"/>
      <c r="W43" s="32"/>
      <c r="X43" s="53"/>
      <c r="Y43" s="54" t="str">
        <f>IFERROR(VLOOKUP(December[[#This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54" t="str">
        <f>IFERROR(VLOOKUP(December[[#This Row],[Drug Name4]],'Data Options'!$R$1:$S$100,2,FALSE), " ")</f>
        <v xml:space="preserve"> </v>
      </c>
      <c r="AI43" s="32"/>
      <c r="AJ43" s="32"/>
      <c r="AK43" s="53"/>
      <c r="AL43" s="54" t="str">
        <f>IFERROR(VLOOKUP(December[[#This Row],[Drug Name5]],'Data Options'!$R$1:$S$100,2,FALSE), " ")</f>
        <v xml:space="preserve"> </v>
      </c>
      <c r="AM43" s="32"/>
      <c r="AN43" s="32"/>
      <c r="AO43" s="53"/>
      <c r="AP43" s="54" t="str">
        <f>IFERROR(VLOOKUP(December[[#This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54" t="str">
        <f>IFERROR(VLOOKUP(December[[#This Row],[Drug Name7]],'Data Options'!$R$1:$S$100,2,FALSE), " ")</f>
        <v xml:space="preserve"> </v>
      </c>
      <c r="AZ43" s="32"/>
      <c r="BA43" s="32"/>
      <c r="BB43" s="53"/>
      <c r="BC43" s="54" t="str">
        <f>IFERROR(VLOOKUP(December[[#This Row],[Drug Name8]],'Data Options'!$R$1:$S$100,2,FALSE), " ")</f>
        <v xml:space="preserve"> </v>
      </c>
      <c r="BD43" s="32"/>
      <c r="BE43" s="32"/>
      <c r="BF43" s="53"/>
      <c r="BG43" s="54" t="str">
        <f>IFERROR(VLOOKUP(December[[#This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54" t="str">
        <f>IFERROR(VLOOKUP(December[[#This Row],[Drug Name]],'Data Options'!$R$1:$S$100,2,FALSE), " ")</f>
        <v xml:space="preserve"> </v>
      </c>
      <c r="R44" s="32"/>
      <c r="S44" s="32"/>
      <c r="T44" s="53"/>
      <c r="U44" s="54" t="str">
        <f>IFERROR(VLOOKUP(December[[#This Row],[Drug Name2]],'Data Options'!$R$1:$S$100,2,FALSE), " ")</f>
        <v xml:space="preserve"> </v>
      </c>
      <c r="V44" s="32"/>
      <c r="W44" s="32"/>
      <c r="X44" s="53"/>
      <c r="Y44" s="54" t="str">
        <f>IFERROR(VLOOKUP(December[[#This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54" t="str">
        <f>IFERROR(VLOOKUP(December[[#This Row],[Drug Name4]],'Data Options'!$R$1:$S$100,2,FALSE), " ")</f>
        <v xml:space="preserve"> </v>
      </c>
      <c r="AI44" s="32"/>
      <c r="AJ44" s="32"/>
      <c r="AK44" s="53"/>
      <c r="AL44" s="54" t="str">
        <f>IFERROR(VLOOKUP(December[[#This Row],[Drug Name5]],'Data Options'!$R$1:$S$100,2,FALSE), " ")</f>
        <v xml:space="preserve"> </v>
      </c>
      <c r="AM44" s="32"/>
      <c r="AN44" s="32"/>
      <c r="AO44" s="53"/>
      <c r="AP44" s="54" t="str">
        <f>IFERROR(VLOOKUP(December[[#This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54" t="str">
        <f>IFERROR(VLOOKUP(December[[#This Row],[Drug Name7]],'Data Options'!$R$1:$S$100,2,FALSE), " ")</f>
        <v xml:space="preserve"> </v>
      </c>
      <c r="AZ44" s="32"/>
      <c r="BA44" s="32"/>
      <c r="BB44" s="53"/>
      <c r="BC44" s="54" t="str">
        <f>IFERROR(VLOOKUP(December[[#This Row],[Drug Name8]],'Data Options'!$R$1:$S$100,2,FALSE), " ")</f>
        <v xml:space="preserve"> </v>
      </c>
      <c r="BD44" s="32"/>
      <c r="BE44" s="32"/>
      <c r="BF44" s="53"/>
      <c r="BG44" s="54" t="str">
        <f>IFERROR(VLOOKUP(December[[#This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54" t="str">
        <f>IFERROR(VLOOKUP(December[[#This Row],[Drug Name]],'Data Options'!$R$1:$S$100,2,FALSE), " ")</f>
        <v xml:space="preserve"> </v>
      </c>
      <c r="R45" s="32"/>
      <c r="S45" s="32"/>
      <c r="T45" s="53"/>
      <c r="U45" s="54" t="str">
        <f>IFERROR(VLOOKUP(December[[#This Row],[Drug Name2]],'Data Options'!$R$1:$S$100,2,FALSE), " ")</f>
        <v xml:space="preserve"> </v>
      </c>
      <c r="V45" s="32"/>
      <c r="W45" s="32"/>
      <c r="X45" s="53"/>
      <c r="Y45" s="54" t="str">
        <f>IFERROR(VLOOKUP(December[[#This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54" t="str">
        <f>IFERROR(VLOOKUP(December[[#This Row],[Drug Name4]],'Data Options'!$R$1:$S$100,2,FALSE), " ")</f>
        <v xml:space="preserve"> </v>
      </c>
      <c r="AI45" s="32"/>
      <c r="AJ45" s="32"/>
      <c r="AK45" s="53"/>
      <c r="AL45" s="54" t="str">
        <f>IFERROR(VLOOKUP(December[[#This Row],[Drug Name5]],'Data Options'!$R$1:$S$100,2,FALSE), " ")</f>
        <v xml:space="preserve"> </v>
      </c>
      <c r="AM45" s="32"/>
      <c r="AN45" s="32"/>
      <c r="AO45" s="53"/>
      <c r="AP45" s="54" t="str">
        <f>IFERROR(VLOOKUP(December[[#This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54" t="str">
        <f>IFERROR(VLOOKUP(December[[#This Row],[Drug Name7]],'Data Options'!$R$1:$S$100,2,FALSE), " ")</f>
        <v xml:space="preserve"> </v>
      </c>
      <c r="AZ45" s="32"/>
      <c r="BA45" s="32"/>
      <c r="BB45" s="53"/>
      <c r="BC45" s="54" t="str">
        <f>IFERROR(VLOOKUP(December[[#This Row],[Drug Name8]],'Data Options'!$R$1:$S$100,2,FALSE), " ")</f>
        <v xml:space="preserve"> </v>
      </c>
      <c r="BD45" s="32"/>
      <c r="BE45" s="32"/>
      <c r="BF45" s="53"/>
      <c r="BG45" s="54" t="str">
        <f>IFERROR(VLOOKUP(December[[#This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54" t="str">
        <f>IFERROR(VLOOKUP(December[[#This Row],[Drug Name]],'Data Options'!$R$1:$S$100,2,FALSE), " ")</f>
        <v xml:space="preserve"> </v>
      </c>
      <c r="R46" s="32"/>
      <c r="S46" s="32"/>
      <c r="T46" s="53"/>
      <c r="U46" s="54" t="str">
        <f>IFERROR(VLOOKUP(December[[#This Row],[Drug Name2]],'Data Options'!$R$1:$S$100,2,FALSE), " ")</f>
        <v xml:space="preserve"> </v>
      </c>
      <c r="V46" s="32"/>
      <c r="W46" s="32"/>
      <c r="X46" s="53"/>
      <c r="Y46" s="54" t="str">
        <f>IFERROR(VLOOKUP(December[[#This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54" t="str">
        <f>IFERROR(VLOOKUP(December[[#This Row],[Drug Name4]],'Data Options'!$R$1:$S$100,2,FALSE), " ")</f>
        <v xml:space="preserve"> </v>
      </c>
      <c r="AI46" s="32"/>
      <c r="AJ46" s="32"/>
      <c r="AK46" s="53"/>
      <c r="AL46" s="54" t="str">
        <f>IFERROR(VLOOKUP(December[[#This Row],[Drug Name5]],'Data Options'!$R$1:$S$100,2,FALSE), " ")</f>
        <v xml:space="preserve"> </v>
      </c>
      <c r="AM46" s="32"/>
      <c r="AN46" s="32"/>
      <c r="AO46" s="53"/>
      <c r="AP46" s="54" t="str">
        <f>IFERROR(VLOOKUP(December[[#This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54" t="str">
        <f>IFERROR(VLOOKUP(December[[#This Row],[Drug Name7]],'Data Options'!$R$1:$S$100,2,FALSE), " ")</f>
        <v xml:space="preserve"> </v>
      </c>
      <c r="AZ46" s="32"/>
      <c r="BA46" s="32"/>
      <c r="BB46" s="53"/>
      <c r="BC46" s="54" t="str">
        <f>IFERROR(VLOOKUP(December[[#This Row],[Drug Name8]],'Data Options'!$R$1:$S$100,2,FALSE), " ")</f>
        <v xml:space="preserve"> </v>
      </c>
      <c r="BD46" s="32"/>
      <c r="BE46" s="32"/>
      <c r="BF46" s="53"/>
      <c r="BG46" s="54" t="str">
        <f>IFERROR(VLOOKUP(December[[#This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54" t="str">
        <f>IFERROR(VLOOKUP(December[[#This Row],[Drug Name]],'Data Options'!$R$1:$S$100,2,FALSE), " ")</f>
        <v xml:space="preserve"> </v>
      </c>
      <c r="R47" s="32"/>
      <c r="S47" s="32"/>
      <c r="T47" s="53"/>
      <c r="U47" s="54" t="str">
        <f>IFERROR(VLOOKUP(December[[#This Row],[Drug Name2]],'Data Options'!$R$1:$S$100,2,FALSE), " ")</f>
        <v xml:space="preserve"> </v>
      </c>
      <c r="V47" s="32"/>
      <c r="W47" s="32"/>
      <c r="X47" s="53"/>
      <c r="Y47" s="54" t="str">
        <f>IFERROR(VLOOKUP(December[[#This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54" t="str">
        <f>IFERROR(VLOOKUP(December[[#This Row],[Drug Name4]],'Data Options'!$R$1:$S$100,2,FALSE), " ")</f>
        <v xml:space="preserve"> </v>
      </c>
      <c r="AI47" s="32"/>
      <c r="AJ47" s="32"/>
      <c r="AK47" s="53"/>
      <c r="AL47" s="54" t="str">
        <f>IFERROR(VLOOKUP(December[[#This Row],[Drug Name5]],'Data Options'!$R$1:$S$100,2,FALSE), " ")</f>
        <v xml:space="preserve"> </v>
      </c>
      <c r="AM47" s="32"/>
      <c r="AN47" s="32"/>
      <c r="AO47" s="53"/>
      <c r="AP47" s="54" t="str">
        <f>IFERROR(VLOOKUP(December[[#This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54" t="str">
        <f>IFERROR(VLOOKUP(December[[#This Row],[Drug Name7]],'Data Options'!$R$1:$S$100,2,FALSE), " ")</f>
        <v xml:space="preserve"> </v>
      </c>
      <c r="AZ47" s="32"/>
      <c r="BA47" s="32"/>
      <c r="BB47" s="53"/>
      <c r="BC47" s="54" t="str">
        <f>IFERROR(VLOOKUP(December[[#This Row],[Drug Name8]],'Data Options'!$R$1:$S$100,2,FALSE), " ")</f>
        <v xml:space="preserve"> </v>
      </c>
      <c r="BD47" s="32"/>
      <c r="BE47" s="32"/>
      <c r="BF47" s="53"/>
      <c r="BG47" s="54" t="str">
        <f>IFERROR(VLOOKUP(December[[#This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54" t="str">
        <f>IFERROR(VLOOKUP(December[[#This Row],[Drug Name]],'Data Options'!$R$1:$S$100,2,FALSE), " ")</f>
        <v xml:space="preserve"> </v>
      </c>
      <c r="R48" s="32"/>
      <c r="S48" s="32"/>
      <c r="T48" s="53"/>
      <c r="U48" s="54" t="str">
        <f>IFERROR(VLOOKUP(December[[#This Row],[Drug Name2]],'Data Options'!$R$1:$S$100,2,FALSE), " ")</f>
        <v xml:space="preserve"> </v>
      </c>
      <c r="V48" s="32"/>
      <c r="W48" s="32"/>
      <c r="X48" s="53"/>
      <c r="Y48" s="54" t="str">
        <f>IFERROR(VLOOKUP(December[[#This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54" t="str">
        <f>IFERROR(VLOOKUP(December[[#This Row],[Drug Name4]],'Data Options'!$R$1:$S$100,2,FALSE), " ")</f>
        <v xml:space="preserve"> </v>
      </c>
      <c r="AI48" s="32"/>
      <c r="AJ48" s="32"/>
      <c r="AK48" s="53"/>
      <c r="AL48" s="54" t="str">
        <f>IFERROR(VLOOKUP(December[[#This Row],[Drug Name5]],'Data Options'!$R$1:$S$100,2,FALSE), " ")</f>
        <v xml:space="preserve"> </v>
      </c>
      <c r="AM48" s="32"/>
      <c r="AN48" s="32"/>
      <c r="AO48" s="53"/>
      <c r="AP48" s="54" t="str">
        <f>IFERROR(VLOOKUP(December[[#This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54" t="str">
        <f>IFERROR(VLOOKUP(December[[#This Row],[Drug Name7]],'Data Options'!$R$1:$S$100,2,FALSE), " ")</f>
        <v xml:space="preserve"> </v>
      </c>
      <c r="AZ48" s="32"/>
      <c r="BA48" s="32"/>
      <c r="BB48" s="53"/>
      <c r="BC48" s="54" t="str">
        <f>IFERROR(VLOOKUP(December[[#This Row],[Drug Name8]],'Data Options'!$R$1:$S$100,2,FALSE), " ")</f>
        <v xml:space="preserve"> </v>
      </c>
      <c r="BD48" s="32"/>
      <c r="BE48" s="32"/>
      <c r="BF48" s="53"/>
      <c r="BG48" s="54" t="str">
        <f>IFERROR(VLOOKUP(December[[#This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54" t="str">
        <f>IFERROR(VLOOKUP(December[[#This Row],[Drug Name]],'Data Options'!$R$1:$S$100,2,FALSE), " ")</f>
        <v xml:space="preserve"> </v>
      </c>
      <c r="R49" s="32"/>
      <c r="S49" s="32"/>
      <c r="T49" s="53"/>
      <c r="U49" s="54" t="str">
        <f>IFERROR(VLOOKUP(December[[#This Row],[Drug Name2]],'Data Options'!$R$1:$S$100,2,FALSE), " ")</f>
        <v xml:space="preserve"> </v>
      </c>
      <c r="V49" s="32"/>
      <c r="W49" s="32"/>
      <c r="X49" s="53"/>
      <c r="Y49" s="54" t="str">
        <f>IFERROR(VLOOKUP(December[[#This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54" t="str">
        <f>IFERROR(VLOOKUP(December[[#This Row],[Drug Name4]],'Data Options'!$R$1:$S$100,2,FALSE), " ")</f>
        <v xml:space="preserve"> </v>
      </c>
      <c r="AI49" s="32"/>
      <c r="AJ49" s="32"/>
      <c r="AK49" s="53"/>
      <c r="AL49" s="54" t="str">
        <f>IFERROR(VLOOKUP(December[[#This Row],[Drug Name5]],'Data Options'!$R$1:$S$100,2,FALSE), " ")</f>
        <v xml:space="preserve"> </v>
      </c>
      <c r="AM49" s="32"/>
      <c r="AN49" s="32"/>
      <c r="AO49" s="53"/>
      <c r="AP49" s="54" t="str">
        <f>IFERROR(VLOOKUP(December[[#This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54" t="str">
        <f>IFERROR(VLOOKUP(December[[#This Row],[Drug Name7]],'Data Options'!$R$1:$S$100,2,FALSE), " ")</f>
        <v xml:space="preserve"> </v>
      </c>
      <c r="AZ49" s="32"/>
      <c r="BA49" s="32"/>
      <c r="BB49" s="53"/>
      <c r="BC49" s="54" t="str">
        <f>IFERROR(VLOOKUP(December[[#This Row],[Drug Name8]],'Data Options'!$R$1:$S$100,2,FALSE), " ")</f>
        <v xml:space="preserve"> </v>
      </c>
      <c r="BD49" s="32"/>
      <c r="BE49" s="32"/>
      <c r="BF49" s="53"/>
      <c r="BG49" s="54" t="str">
        <f>IFERROR(VLOOKUP(December[[#This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54" t="str">
        <f>IFERROR(VLOOKUP(December[[#This Row],[Drug Name]],'Data Options'!$R$1:$S$100,2,FALSE), " ")</f>
        <v xml:space="preserve"> </v>
      </c>
      <c r="R50" s="32"/>
      <c r="S50" s="32"/>
      <c r="T50" s="53"/>
      <c r="U50" s="54" t="str">
        <f>IFERROR(VLOOKUP(December[[#This Row],[Drug Name2]],'Data Options'!$R$1:$S$100,2,FALSE), " ")</f>
        <v xml:space="preserve"> </v>
      </c>
      <c r="V50" s="32"/>
      <c r="W50" s="32"/>
      <c r="X50" s="53"/>
      <c r="Y50" s="54" t="str">
        <f>IFERROR(VLOOKUP(December[[#This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54" t="str">
        <f>IFERROR(VLOOKUP(December[[#This Row],[Drug Name4]],'Data Options'!$R$1:$S$100,2,FALSE), " ")</f>
        <v xml:space="preserve"> </v>
      </c>
      <c r="AI50" s="32"/>
      <c r="AJ50" s="32"/>
      <c r="AK50" s="53"/>
      <c r="AL50" s="54" t="str">
        <f>IFERROR(VLOOKUP(December[[#This Row],[Drug Name5]],'Data Options'!$R$1:$S$100,2,FALSE), " ")</f>
        <v xml:space="preserve"> </v>
      </c>
      <c r="AM50" s="32"/>
      <c r="AN50" s="32"/>
      <c r="AO50" s="53"/>
      <c r="AP50" s="54" t="str">
        <f>IFERROR(VLOOKUP(December[[#This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54" t="str">
        <f>IFERROR(VLOOKUP(December[[#This Row],[Drug Name7]],'Data Options'!$R$1:$S$100,2,FALSE), " ")</f>
        <v xml:space="preserve"> </v>
      </c>
      <c r="AZ50" s="32"/>
      <c r="BA50" s="32"/>
      <c r="BB50" s="53"/>
      <c r="BC50" s="54" t="str">
        <f>IFERROR(VLOOKUP(December[[#This Row],[Drug Name8]],'Data Options'!$R$1:$S$100,2,FALSE), " ")</f>
        <v xml:space="preserve"> </v>
      </c>
      <c r="BD50" s="32"/>
      <c r="BE50" s="32"/>
      <c r="BF50" s="53"/>
      <c r="BG50" s="54" t="str">
        <f>IFERROR(VLOOKUP(December[[#This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54" t="str">
        <f>IFERROR(VLOOKUP(December[[#This Row],[Drug Name]],'Data Options'!$R$1:$S$100,2,FALSE), " ")</f>
        <v xml:space="preserve"> </v>
      </c>
      <c r="R51" s="32"/>
      <c r="S51" s="32"/>
      <c r="T51" s="53"/>
      <c r="U51" s="54" t="str">
        <f>IFERROR(VLOOKUP(December[[#This Row],[Drug Name2]],'Data Options'!$R$1:$S$100,2,FALSE), " ")</f>
        <v xml:space="preserve"> </v>
      </c>
      <c r="V51" s="32"/>
      <c r="W51" s="32"/>
      <c r="X51" s="53"/>
      <c r="Y51" s="54" t="str">
        <f>IFERROR(VLOOKUP(December[[#This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54" t="str">
        <f>IFERROR(VLOOKUP(December[[#This Row],[Drug Name4]],'Data Options'!$R$1:$S$100,2,FALSE), " ")</f>
        <v xml:space="preserve"> </v>
      </c>
      <c r="AI51" s="32"/>
      <c r="AJ51" s="32"/>
      <c r="AK51" s="53"/>
      <c r="AL51" s="54" t="str">
        <f>IFERROR(VLOOKUP(December[[#This Row],[Drug Name5]],'Data Options'!$R$1:$S$100,2,FALSE), " ")</f>
        <v xml:space="preserve"> </v>
      </c>
      <c r="AM51" s="32"/>
      <c r="AN51" s="32"/>
      <c r="AO51" s="53"/>
      <c r="AP51" s="54" t="str">
        <f>IFERROR(VLOOKUP(December[[#This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54" t="str">
        <f>IFERROR(VLOOKUP(December[[#This Row],[Drug Name7]],'Data Options'!$R$1:$S$100,2,FALSE), " ")</f>
        <v xml:space="preserve"> </v>
      </c>
      <c r="AZ51" s="32"/>
      <c r="BA51" s="32"/>
      <c r="BB51" s="53"/>
      <c r="BC51" s="54" t="str">
        <f>IFERROR(VLOOKUP(December[[#This Row],[Drug Name8]],'Data Options'!$R$1:$S$100,2,FALSE), " ")</f>
        <v xml:space="preserve"> </v>
      </c>
      <c r="BD51" s="32"/>
      <c r="BE51" s="32"/>
      <c r="BF51" s="53"/>
      <c r="BG51" s="54" t="str">
        <f>IFERROR(VLOOKUP(December[[#This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54" t="str">
        <f>IFERROR(VLOOKUP(December[[#This Row],[Drug Name]],'Data Options'!$R$1:$S$100,2,FALSE), " ")</f>
        <v xml:space="preserve"> </v>
      </c>
      <c r="R52" s="32"/>
      <c r="S52" s="32"/>
      <c r="T52" s="53"/>
      <c r="U52" s="54" t="str">
        <f>IFERROR(VLOOKUP(December[[#This Row],[Drug Name2]],'Data Options'!$R$1:$S$100,2,FALSE), " ")</f>
        <v xml:space="preserve"> </v>
      </c>
      <c r="V52" s="32"/>
      <c r="W52" s="32"/>
      <c r="X52" s="53"/>
      <c r="Y52" s="54" t="str">
        <f>IFERROR(VLOOKUP(December[[#This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54" t="str">
        <f>IFERROR(VLOOKUP(December[[#This Row],[Drug Name4]],'Data Options'!$R$1:$S$100,2,FALSE), " ")</f>
        <v xml:space="preserve"> </v>
      </c>
      <c r="AI52" s="32"/>
      <c r="AJ52" s="32"/>
      <c r="AK52" s="53"/>
      <c r="AL52" s="54" t="str">
        <f>IFERROR(VLOOKUP(December[[#This Row],[Drug Name5]],'Data Options'!$R$1:$S$100,2,FALSE), " ")</f>
        <v xml:space="preserve"> </v>
      </c>
      <c r="AM52" s="32"/>
      <c r="AN52" s="32"/>
      <c r="AO52" s="53"/>
      <c r="AP52" s="54" t="str">
        <f>IFERROR(VLOOKUP(December[[#This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54" t="str">
        <f>IFERROR(VLOOKUP(December[[#This Row],[Drug Name7]],'Data Options'!$R$1:$S$100,2,FALSE), " ")</f>
        <v xml:space="preserve"> </v>
      </c>
      <c r="AZ52" s="32"/>
      <c r="BA52" s="32"/>
      <c r="BB52" s="53"/>
      <c r="BC52" s="54" t="str">
        <f>IFERROR(VLOOKUP(December[[#This Row],[Drug Name8]],'Data Options'!$R$1:$S$100,2,FALSE), " ")</f>
        <v xml:space="preserve"> </v>
      </c>
      <c r="BD52" s="32"/>
      <c r="BE52" s="32"/>
      <c r="BF52" s="53"/>
      <c r="BG52" s="54" t="str">
        <f>IFERROR(VLOOKUP(December[[#This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54" t="str">
        <f>IFERROR(VLOOKUP(December[[#This Row],[Drug Name]],'Data Options'!$R$1:$S$100,2,FALSE), " ")</f>
        <v xml:space="preserve"> </v>
      </c>
      <c r="R53" s="32"/>
      <c r="S53" s="32"/>
      <c r="T53" s="53"/>
      <c r="U53" s="54" t="str">
        <f>IFERROR(VLOOKUP(December[[#This Row],[Drug Name2]],'Data Options'!$R$1:$S$100,2,FALSE), " ")</f>
        <v xml:space="preserve"> </v>
      </c>
      <c r="V53" s="32"/>
      <c r="W53" s="32"/>
      <c r="X53" s="53"/>
      <c r="Y53" s="54" t="str">
        <f>IFERROR(VLOOKUP(December[[#This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54" t="str">
        <f>IFERROR(VLOOKUP(December[[#This Row],[Drug Name4]],'Data Options'!$R$1:$S$100,2,FALSE), " ")</f>
        <v xml:space="preserve"> </v>
      </c>
      <c r="AI53" s="32"/>
      <c r="AJ53" s="32"/>
      <c r="AK53" s="53"/>
      <c r="AL53" s="54" t="str">
        <f>IFERROR(VLOOKUP(December[[#This Row],[Drug Name5]],'Data Options'!$R$1:$S$100,2,FALSE), " ")</f>
        <v xml:space="preserve"> </v>
      </c>
      <c r="AM53" s="32"/>
      <c r="AN53" s="32"/>
      <c r="AO53" s="53"/>
      <c r="AP53" s="54" t="str">
        <f>IFERROR(VLOOKUP(December[[#This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54" t="str">
        <f>IFERROR(VLOOKUP(December[[#This Row],[Drug Name7]],'Data Options'!$R$1:$S$100,2,FALSE), " ")</f>
        <v xml:space="preserve"> </v>
      </c>
      <c r="AZ53" s="32"/>
      <c r="BA53" s="32"/>
      <c r="BB53" s="53"/>
      <c r="BC53" s="54" t="str">
        <f>IFERROR(VLOOKUP(December[[#This Row],[Drug Name8]],'Data Options'!$R$1:$S$100,2,FALSE), " ")</f>
        <v xml:space="preserve"> </v>
      </c>
      <c r="BD53" s="32"/>
      <c r="BE53" s="32"/>
      <c r="BF53" s="53"/>
      <c r="BG53" s="54" t="str">
        <f>IFERROR(VLOOKUP(December[[#This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54" t="str">
        <f>IFERROR(VLOOKUP(December[[#This Row],[Drug Name]],'Data Options'!$R$1:$S$100,2,FALSE), " ")</f>
        <v xml:space="preserve"> </v>
      </c>
      <c r="R54" s="32"/>
      <c r="S54" s="32"/>
      <c r="T54" s="53"/>
      <c r="U54" s="54" t="str">
        <f>IFERROR(VLOOKUP(December[[#This Row],[Drug Name2]],'Data Options'!$R$1:$S$100,2,FALSE), " ")</f>
        <v xml:space="preserve"> </v>
      </c>
      <c r="V54" s="32"/>
      <c r="W54" s="32"/>
      <c r="X54" s="53"/>
      <c r="Y54" s="54" t="str">
        <f>IFERROR(VLOOKUP(December[[#This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54" t="str">
        <f>IFERROR(VLOOKUP(December[[#This Row],[Drug Name4]],'Data Options'!$R$1:$S$100,2,FALSE), " ")</f>
        <v xml:space="preserve"> </v>
      </c>
      <c r="AI54" s="32"/>
      <c r="AJ54" s="32"/>
      <c r="AK54" s="53"/>
      <c r="AL54" s="54" t="str">
        <f>IFERROR(VLOOKUP(December[[#This Row],[Drug Name5]],'Data Options'!$R$1:$S$100,2,FALSE), " ")</f>
        <v xml:space="preserve"> </v>
      </c>
      <c r="AM54" s="32"/>
      <c r="AN54" s="32"/>
      <c r="AO54" s="53"/>
      <c r="AP54" s="54" t="str">
        <f>IFERROR(VLOOKUP(December[[#This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54" t="str">
        <f>IFERROR(VLOOKUP(December[[#This Row],[Drug Name7]],'Data Options'!$R$1:$S$100,2,FALSE), " ")</f>
        <v xml:space="preserve"> </v>
      </c>
      <c r="AZ54" s="32"/>
      <c r="BA54" s="32"/>
      <c r="BB54" s="53"/>
      <c r="BC54" s="54" t="str">
        <f>IFERROR(VLOOKUP(December[[#This Row],[Drug Name8]],'Data Options'!$R$1:$S$100,2,FALSE), " ")</f>
        <v xml:space="preserve"> </v>
      </c>
      <c r="BD54" s="32"/>
      <c r="BE54" s="32"/>
      <c r="BF54" s="53"/>
      <c r="BG54" s="54" t="str">
        <f>IFERROR(VLOOKUP(December[[#This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54" t="str">
        <f>IFERROR(VLOOKUP(December[[#This Row],[Drug Name]],'Data Options'!$R$1:$S$100,2,FALSE), " ")</f>
        <v xml:space="preserve"> </v>
      </c>
      <c r="R55" s="32"/>
      <c r="S55" s="32"/>
      <c r="T55" s="53"/>
      <c r="U55" s="54" t="str">
        <f>IFERROR(VLOOKUP(December[[#This Row],[Drug Name2]],'Data Options'!$R$1:$S$100,2,FALSE), " ")</f>
        <v xml:space="preserve"> </v>
      </c>
      <c r="V55" s="32"/>
      <c r="W55" s="32"/>
      <c r="X55" s="53"/>
      <c r="Y55" s="54" t="str">
        <f>IFERROR(VLOOKUP(December[[#This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54" t="str">
        <f>IFERROR(VLOOKUP(December[[#This Row],[Drug Name4]],'Data Options'!$R$1:$S$100,2,FALSE), " ")</f>
        <v xml:space="preserve"> </v>
      </c>
      <c r="AI55" s="32"/>
      <c r="AJ55" s="32"/>
      <c r="AK55" s="53"/>
      <c r="AL55" s="54" t="str">
        <f>IFERROR(VLOOKUP(December[[#This Row],[Drug Name5]],'Data Options'!$R$1:$S$100,2,FALSE), " ")</f>
        <v xml:space="preserve"> </v>
      </c>
      <c r="AM55" s="32"/>
      <c r="AN55" s="32"/>
      <c r="AO55" s="53"/>
      <c r="AP55" s="54" t="str">
        <f>IFERROR(VLOOKUP(December[[#This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54" t="str">
        <f>IFERROR(VLOOKUP(December[[#This Row],[Drug Name7]],'Data Options'!$R$1:$S$100,2,FALSE), " ")</f>
        <v xml:space="preserve"> </v>
      </c>
      <c r="AZ55" s="32"/>
      <c r="BA55" s="32"/>
      <c r="BB55" s="53"/>
      <c r="BC55" s="54" t="str">
        <f>IFERROR(VLOOKUP(December[[#This Row],[Drug Name8]],'Data Options'!$R$1:$S$100,2,FALSE), " ")</f>
        <v xml:space="preserve"> </v>
      </c>
      <c r="BD55" s="32"/>
      <c r="BE55" s="32"/>
      <c r="BF55" s="53"/>
      <c r="BG55" s="54" t="str">
        <f>IFERROR(VLOOKUP(December[[#This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54" t="str">
        <f>IFERROR(VLOOKUP(December[[#This Row],[Drug Name]],'Data Options'!$R$1:$S$100,2,FALSE), " ")</f>
        <v xml:space="preserve"> </v>
      </c>
      <c r="R56" s="32"/>
      <c r="S56" s="32"/>
      <c r="T56" s="53"/>
      <c r="U56" s="54" t="str">
        <f>IFERROR(VLOOKUP(December[[#This Row],[Drug Name2]],'Data Options'!$R$1:$S$100,2,FALSE), " ")</f>
        <v xml:space="preserve"> </v>
      </c>
      <c r="V56" s="32"/>
      <c r="W56" s="32"/>
      <c r="X56" s="53"/>
      <c r="Y56" s="54" t="str">
        <f>IFERROR(VLOOKUP(December[[#This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54" t="str">
        <f>IFERROR(VLOOKUP(December[[#This Row],[Drug Name4]],'Data Options'!$R$1:$S$100,2,FALSE), " ")</f>
        <v xml:space="preserve"> </v>
      </c>
      <c r="AI56" s="32"/>
      <c r="AJ56" s="32"/>
      <c r="AK56" s="53"/>
      <c r="AL56" s="54" t="str">
        <f>IFERROR(VLOOKUP(December[[#This Row],[Drug Name5]],'Data Options'!$R$1:$S$100,2,FALSE), " ")</f>
        <v xml:space="preserve"> </v>
      </c>
      <c r="AM56" s="32"/>
      <c r="AN56" s="32"/>
      <c r="AO56" s="53"/>
      <c r="AP56" s="54" t="str">
        <f>IFERROR(VLOOKUP(December[[#This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54" t="str">
        <f>IFERROR(VLOOKUP(December[[#This Row],[Drug Name7]],'Data Options'!$R$1:$S$100,2,FALSE), " ")</f>
        <v xml:space="preserve"> </v>
      </c>
      <c r="AZ56" s="32"/>
      <c r="BA56" s="32"/>
      <c r="BB56" s="53"/>
      <c r="BC56" s="54" t="str">
        <f>IFERROR(VLOOKUP(December[[#This Row],[Drug Name8]],'Data Options'!$R$1:$S$100,2,FALSE), " ")</f>
        <v xml:space="preserve"> </v>
      </c>
      <c r="BD56" s="32"/>
      <c r="BE56" s="32"/>
      <c r="BF56" s="53"/>
      <c r="BG56" s="54" t="str">
        <f>IFERROR(VLOOKUP(December[[#This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54" t="str">
        <f>IFERROR(VLOOKUP(December[[#This Row],[Drug Name]],'Data Options'!$R$1:$S$100,2,FALSE), " ")</f>
        <v xml:space="preserve"> </v>
      </c>
      <c r="R57" s="32"/>
      <c r="S57" s="32"/>
      <c r="T57" s="53"/>
      <c r="U57" s="54" t="str">
        <f>IFERROR(VLOOKUP(December[[#This Row],[Drug Name2]],'Data Options'!$R$1:$S$100,2,FALSE), " ")</f>
        <v xml:space="preserve"> </v>
      </c>
      <c r="V57" s="32"/>
      <c r="W57" s="32"/>
      <c r="X57" s="53"/>
      <c r="Y57" s="54" t="str">
        <f>IFERROR(VLOOKUP(December[[#This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54" t="str">
        <f>IFERROR(VLOOKUP(December[[#This Row],[Drug Name4]],'Data Options'!$R$1:$S$100,2,FALSE), " ")</f>
        <v xml:space="preserve"> </v>
      </c>
      <c r="AI57" s="32"/>
      <c r="AJ57" s="32"/>
      <c r="AK57" s="53"/>
      <c r="AL57" s="54" t="str">
        <f>IFERROR(VLOOKUP(December[[#This Row],[Drug Name5]],'Data Options'!$R$1:$S$100,2,FALSE), " ")</f>
        <v xml:space="preserve"> </v>
      </c>
      <c r="AM57" s="32"/>
      <c r="AN57" s="32"/>
      <c r="AO57" s="53"/>
      <c r="AP57" s="54" t="str">
        <f>IFERROR(VLOOKUP(December[[#This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54" t="str">
        <f>IFERROR(VLOOKUP(December[[#This Row],[Drug Name7]],'Data Options'!$R$1:$S$100,2,FALSE), " ")</f>
        <v xml:space="preserve"> </v>
      </c>
      <c r="AZ57" s="32"/>
      <c r="BA57" s="32"/>
      <c r="BB57" s="53"/>
      <c r="BC57" s="54" t="str">
        <f>IFERROR(VLOOKUP(December[[#This Row],[Drug Name8]],'Data Options'!$R$1:$S$100,2,FALSE), " ")</f>
        <v xml:space="preserve"> </v>
      </c>
      <c r="BD57" s="32"/>
      <c r="BE57" s="32"/>
      <c r="BF57" s="53"/>
      <c r="BG57" s="54" t="str">
        <f>IFERROR(VLOOKUP(December[[#This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54" t="str">
        <f>IFERROR(VLOOKUP(December[[#This Row],[Drug Name]],'Data Options'!$R$1:$S$100,2,FALSE), " ")</f>
        <v xml:space="preserve"> </v>
      </c>
      <c r="R58" s="32"/>
      <c r="S58" s="32"/>
      <c r="T58" s="53"/>
      <c r="U58" s="54" t="str">
        <f>IFERROR(VLOOKUP(December[[#This Row],[Drug Name2]],'Data Options'!$R$1:$S$100,2,FALSE), " ")</f>
        <v xml:space="preserve"> </v>
      </c>
      <c r="V58" s="32"/>
      <c r="W58" s="32"/>
      <c r="X58" s="53"/>
      <c r="Y58" s="54" t="str">
        <f>IFERROR(VLOOKUP(December[[#This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54" t="str">
        <f>IFERROR(VLOOKUP(December[[#This Row],[Drug Name4]],'Data Options'!$R$1:$S$100,2,FALSE), " ")</f>
        <v xml:space="preserve"> </v>
      </c>
      <c r="AI58" s="32"/>
      <c r="AJ58" s="32"/>
      <c r="AK58" s="53"/>
      <c r="AL58" s="54" t="str">
        <f>IFERROR(VLOOKUP(December[[#This Row],[Drug Name5]],'Data Options'!$R$1:$S$100,2,FALSE), " ")</f>
        <v xml:space="preserve"> </v>
      </c>
      <c r="AM58" s="32"/>
      <c r="AN58" s="32"/>
      <c r="AO58" s="53"/>
      <c r="AP58" s="54" t="str">
        <f>IFERROR(VLOOKUP(December[[#This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54" t="str">
        <f>IFERROR(VLOOKUP(December[[#This Row],[Drug Name7]],'Data Options'!$R$1:$S$100,2,FALSE), " ")</f>
        <v xml:space="preserve"> </v>
      </c>
      <c r="AZ58" s="32"/>
      <c r="BA58" s="32"/>
      <c r="BB58" s="53"/>
      <c r="BC58" s="54" t="str">
        <f>IFERROR(VLOOKUP(December[[#This Row],[Drug Name8]],'Data Options'!$R$1:$S$100,2,FALSE), " ")</f>
        <v xml:space="preserve"> </v>
      </c>
      <c r="BD58" s="32"/>
      <c r="BE58" s="32"/>
      <c r="BF58" s="53"/>
      <c r="BG58" s="54" t="str">
        <f>IFERROR(VLOOKUP(December[[#This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54" t="str">
        <f>IFERROR(VLOOKUP(December[[#This Row],[Drug Name]],'Data Options'!$R$1:$S$100,2,FALSE), " ")</f>
        <v xml:space="preserve"> </v>
      </c>
      <c r="R59" s="32"/>
      <c r="S59" s="32"/>
      <c r="T59" s="53"/>
      <c r="U59" s="54" t="str">
        <f>IFERROR(VLOOKUP(December[[#This Row],[Drug Name2]],'Data Options'!$R$1:$S$100,2,FALSE), " ")</f>
        <v xml:space="preserve"> </v>
      </c>
      <c r="V59" s="32"/>
      <c r="W59" s="32"/>
      <c r="X59" s="53"/>
      <c r="Y59" s="54" t="str">
        <f>IFERROR(VLOOKUP(December[[#This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54" t="str">
        <f>IFERROR(VLOOKUP(December[[#This Row],[Drug Name4]],'Data Options'!$R$1:$S$100,2,FALSE), " ")</f>
        <v xml:space="preserve"> </v>
      </c>
      <c r="AI59" s="32"/>
      <c r="AJ59" s="32"/>
      <c r="AK59" s="53"/>
      <c r="AL59" s="54" t="str">
        <f>IFERROR(VLOOKUP(December[[#This Row],[Drug Name5]],'Data Options'!$R$1:$S$100,2,FALSE), " ")</f>
        <v xml:space="preserve"> </v>
      </c>
      <c r="AM59" s="32"/>
      <c r="AN59" s="32"/>
      <c r="AO59" s="53"/>
      <c r="AP59" s="54" t="str">
        <f>IFERROR(VLOOKUP(December[[#This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54" t="str">
        <f>IFERROR(VLOOKUP(December[[#This Row],[Drug Name7]],'Data Options'!$R$1:$S$100,2,FALSE), " ")</f>
        <v xml:space="preserve"> </v>
      </c>
      <c r="AZ59" s="32"/>
      <c r="BA59" s="32"/>
      <c r="BB59" s="53"/>
      <c r="BC59" s="54" t="str">
        <f>IFERROR(VLOOKUP(December[[#This Row],[Drug Name8]],'Data Options'!$R$1:$S$100,2,FALSE), " ")</f>
        <v xml:space="preserve"> </v>
      </c>
      <c r="BD59" s="32"/>
      <c r="BE59" s="32"/>
      <c r="BF59" s="53"/>
      <c r="BG59" s="54" t="str">
        <f>IFERROR(VLOOKUP(December[[#This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54" t="str">
        <f>IFERROR(VLOOKUP(December[[#This Row],[Drug Name]],'Data Options'!$R$1:$S$100,2,FALSE), " ")</f>
        <v xml:space="preserve"> </v>
      </c>
      <c r="R60" s="32"/>
      <c r="S60" s="32"/>
      <c r="T60" s="53"/>
      <c r="U60" s="54" t="str">
        <f>IFERROR(VLOOKUP(December[[#This Row],[Drug Name2]],'Data Options'!$R$1:$S$100,2,FALSE), " ")</f>
        <v xml:space="preserve"> </v>
      </c>
      <c r="V60" s="32"/>
      <c r="W60" s="32"/>
      <c r="X60" s="53"/>
      <c r="Y60" s="54" t="str">
        <f>IFERROR(VLOOKUP(December[[#This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54" t="str">
        <f>IFERROR(VLOOKUP(December[[#This Row],[Drug Name4]],'Data Options'!$R$1:$S$100,2,FALSE), " ")</f>
        <v xml:space="preserve"> </v>
      </c>
      <c r="AI60" s="32"/>
      <c r="AJ60" s="32"/>
      <c r="AK60" s="53"/>
      <c r="AL60" s="54" t="str">
        <f>IFERROR(VLOOKUP(December[[#This Row],[Drug Name5]],'Data Options'!$R$1:$S$100,2,FALSE), " ")</f>
        <v xml:space="preserve"> </v>
      </c>
      <c r="AM60" s="32"/>
      <c r="AN60" s="32"/>
      <c r="AO60" s="53"/>
      <c r="AP60" s="54" t="str">
        <f>IFERROR(VLOOKUP(December[[#This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54" t="str">
        <f>IFERROR(VLOOKUP(December[[#This Row],[Drug Name7]],'Data Options'!$R$1:$S$100,2,FALSE), " ")</f>
        <v xml:space="preserve"> </v>
      </c>
      <c r="AZ60" s="32"/>
      <c r="BA60" s="32"/>
      <c r="BB60" s="53"/>
      <c r="BC60" s="54" t="str">
        <f>IFERROR(VLOOKUP(December[[#This Row],[Drug Name8]],'Data Options'!$R$1:$S$100,2,FALSE), " ")</f>
        <v xml:space="preserve"> </v>
      </c>
      <c r="BD60" s="32"/>
      <c r="BE60" s="32"/>
      <c r="BF60" s="53"/>
      <c r="BG60" s="54" t="str">
        <f>IFERROR(VLOOKUP(December[[#This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54" t="str">
        <f>IFERROR(VLOOKUP(December[[#This Row],[Drug Name]],'Data Options'!$R$1:$S$100,2,FALSE), " ")</f>
        <v xml:space="preserve"> </v>
      </c>
      <c r="R61" s="32"/>
      <c r="S61" s="32"/>
      <c r="T61" s="53"/>
      <c r="U61" s="54" t="str">
        <f>IFERROR(VLOOKUP(December[[#This Row],[Drug Name2]],'Data Options'!$R$1:$S$100,2,FALSE), " ")</f>
        <v xml:space="preserve"> </v>
      </c>
      <c r="V61" s="32"/>
      <c r="W61" s="32"/>
      <c r="X61" s="53"/>
      <c r="Y61" s="54" t="str">
        <f>IFERROR(VLOOKUP(December[[#This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54" t="str">
        <f>IFERROR(VLOOKUP(December[[#This Row],[Drug Name4]],'Data Options'!$R$1:$S$100,2,FALSE), " ")</f>
        <v xml:space="preserve"> </v>
      </c>
      <c r="AI61" s="32"/>
      <c r="AJ61" s="32"/>
      <c r="AK61" s="53"/>
      <c r="AL61" s="54" t="str">
        <f>IFERROR(VLOOKUP(December[[#This Row],[Drug Name5]],'Data Options'!$R$1:$S$100,2,FALSE), " ")</f>
        <v xml:space="preserve"> </v>
      </c>
      <c r="AM61" s="32"/>
      <c r="AN61" s="32"/>
      <c r="AO61" s="53"/>
      <c r="AP61" s="54" t="str">
        <f>IFERROR(VLOOKUP(December[[#This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54" t="str">
        <f>IFERROR(VLOOKUP(December[[#This Row],[Drug Name7]],'Data Options'!$R$1:$S$100,2,FALSE), " ")</f>
        <v xml:space="preserve"> </v>
      </c>
      <c r="AZ61" s="32"/>
      <c r="BA61" s="32"/>
      <c r="BB61" s="53"/>
      <c r="BC61" s="54" t="str">
        <f>IFERROR(VLOOKUP(December[[#This Row],[Drug Name8]],'Data Options'!$R$1:$S$100,2,FALSE), " ")</f>
        <v xml:space="preserve"> </v>
      </c>
      <c r="BD61" s="32"/>
      <c r="BE61" s="32"/>
      <c r="BF61" s="53"/>
      <c r="BG61" s="54" t="str">
        <f>IFERROR(VLOOKUP(December[[#This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54" t="str">
        <f>IFERROR(VLOOKUP(December[[#This Row],[Drug Name]],'Data Options'!$R$1:$S$100,2,FALSE), " ")</f>
        <v xml:space="preserve"> </v>
      </c>
      <c r="R62" s="32"/>
      <c r="S62" s="32"/>
      <c r="T62" s="53"/>
      <c r="U62" s="54" t="str">
        <f>IFERROR(VLOOKUP(December[[#This Row],[Drug Name2]],'Data Options'!$R$1:$S$100,2,FALSE), " ")</f>
        <v xml:space="preserve"> </v>
      </c>
      <c r="V62" s="32"/>
      <c r="W62" s="32"/>
      <c r="X62" s="53"/>
      <c r="Y62" s="54" t="str">
        <f>IFERROR(VLOOKUP(December[[#This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54" t="str">
        <f>IFERROR(VLOOKUP(December[[#This Row],[Drug Name4]],'Data Options'!$R$1:$S$100,2,FALSE), " ")</f>
        <v xml:space="preserve"> </v>
      </c>
      <c r="AI62" s="32"/>
      <c r="AJ62" s="32"/>
      <c r="AK62" s="53"/>
      <c r="AL62" s="54" t="str">
        <f>IFERROR(VLOOKUP(December[[#This Row],[Drug Name5]],'Data Options'!$R$1:$S$100,2,FALSE), " ")</f>
        <v xml:space="preserve"> </v>
      </c>
      <c r="AM62" s="32"/>
      <c r="AN62" s="32"/>
      <c r="AO62" s="53"/>
      <c r="AP62" s="54" t="str">
        <f>IFERROR(VLOOKUP(December[[#This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54" t="str">
        <f>IFERROR(VLOOKUP(December[[#This Row],[Drug Name7]],'Data Options'!$R$1:$S$100,2,FALSE), " ")</f>
        <v xml:space="preserve"> </v>
      </c>
      <c r="AZ62" s="32"/>
      <c r="BA62" s="32"/>
      <c r="BB62" s="53"/>
      <c r="BC62" s="54" t="str">
        <f>IFERROR(VLOOKUP(December[[#This Row],[Drug Name8]],'Data Options'!$R$1:$S$100,2,FALSE), " ")</f>
        <v xml:space="preserve"> </v>
      </c>
      <c r="BD62" s="32"/>
      <c r="BE62" s="32"/>
      <c r="BF62" s="53"/>
      <c r="BG62" s="54" t="str">
        <f>IFERROR(VLOOKUP(December[[#This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54" t="str">
        <f>IFERROR(VLOOKUP(December[[#This Row],[Drug Name]],'Data Options'!$R$1:$S$100,2,FALSE), " ")</f>
        <v xml:space="preserve"> </v>
      </c>
      <c r="R63" s="32"/>
      <c r="S63" s="32"/>
      <c r="T63" s="53"/>
      <c r="U63" s="54" t="str">
        <f>IFERROR(VLOOKUP(December[[#This Row],[Drug Name2]],'Data Options'!$R$1:$S$100,2,FALSE), " ")</f>
        <v xml:space="preserve"> </v>
      </c>
      <c r="V63" s="32"/>
      <c r="W63" s="32"/>
      <c r="X63" s="53"/>
      <c r="Y63" s="54" t="str">
        <f>IFERROR(VLOOKUP(December[[#This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54" t="str">
        <f>IFERROR(VLOOKUP(December[[#This Row],[Drug Name4]],'Data Options'!$R$1:$S$100,2,FALSE), " ")</f>
        <v xml:space="preserve"> </v>
      </c>
      <c r="AI63" s="32"/>
      <c r="AJ63" s="32"/>
      <c r="AK63" s="53"/>
      <c r="AL63" s="54" t="str">
        <f>IFERROR(VLOOKUP(December[[#This Row],[Drug Name5]],'Data Options'!$R$1:$S$100,2,FALSE), " ")</f>
        <v xml:space="preserve"> </v>
      </c>
      <c r="AM63" s="32"/>
      <c r="AN63" s="32"/>
      <c r="AO63" s="53"/>
      <c r="AP63" s="54" t="str">
        <f>IFERROR(VLOOKUP(December[[#This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54" t="str">
        <f>IFERROR(VLOOKUP(December[[#This Row],[Drug Name7]],'Data Options'!$R$1:$S$100,2,FALSE), " ")</f>
        <v xml:space="preserve"> </v>
      </c>
      <c r="AZ63" s="32"/>
      <c r="BA63" s="32"/>
      <c r="BB63" s="53"/>
      <c r="BC63" s="54" t="str">
        <f>IFERROR(VLOOKUP(December[[#This Row],[Drug Name8]],'Data Options'!$R$1:$S$100,2,FALSE), " ")</f>
        <v xml:space="preserve"> </v>
      </c>
      <c r="BD63" s="32"/>
      <c r="BE63" s="32"/>
      <c r="BF63" s="53"/>
      <c r="BG63" s="54" t="str">
        <f>IFERROR(VLOOKUP(December[[#This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54" t="str">
        <f>IFERROR(VLOOKUP(December[[#This Row],[Drug Name]],'Data Options'!$R$1:$S$100,2,FALSE), " ")</f>
        <v xml:space="preserve"> </v>
      </c>
      <c r="R64" s="32"/>
      <c r="S64" s="32"/>
      <c r="T64" s="53"/>
      <c r="U64" s="54" t="str">
        <f>IFERROR(VLOOKUP(December[[#This Row],[Drug Name2]],'Data Options'!$R$1:$S$100,2,FALSE), " ")</f>
        <v xml:space="preserve"> </v>
      </c>
      <c r="V64" s="32"/>
      <c r="W64" s="32"/>
      <c r="X64" s="53"/>
      <c r="Y64" s="54" t="str">
        <f>IFERROR(VLOOKUP(December[[#This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54" t="str">
        <f>IFERROR(VLOOKUP(December[[#This Row],[Drug Name4]],'Data Options'!$R$1:$S$100,2,FALSE), " ")</f>
        <v xml:space="preserve"> </v>
      </c>
      <c r="AI64" s="32"/>
      <c r="AJ64" s="32"/>
      <c r="AK64" s="53"/>
      <c r="AL64" s="54" t="str">
        <f>IFERROR(VLOOKUP(December[[#This Row],[Drug Name5]],'Data Options'!$R$1:$S$100,2,FALSE), " ")</f>
        <v xml:space="preserve"> </v>
      </c>
      <c r="AM64" s="32"/>
      <c r="AN64" s="32"/>
      <c r="AO64" s="53"/>
      <c r="AP64" s="54" t="str">
        <f>IFERROR(VLOOKUP(December[[#This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54" t="str">
        <f>IFERROR(VLOOKUP(December[[#This Row],[Drug Name7]],'Data Options'!$R$1:$S$100,2,FALSE), " ")</f>
        <v xml:space="preserve"> </v>
      </c>
      <c r="AZ64" s="32"/>
      <c r="BA64" s="32"/>
      <c r="BB64" s="53"/>
      <c r="BC64" s="54" t="str">
        <f>IFERROR(VLOOKUP(December[[#This Row],[Drug Name8]],'Data Options'!$R$1:$S$100,2,FALSE), " ")</f>
        <v xml:space="preserve"> </v>
      </c>
      <c r="BD64" s="32"/>
      <c r="BE64" s="32"/>
      <c r="BF64" s="53"/>
      <c r="BG64" s="54" t="str">
        <f>IFERROR(VLOOKUP(December[[#This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54" t="str">
        <f>IFERROR(VLOOKUP(December[[#This Row],[Drug Name]],'Data Options'!$R$1:$S$100,2,FALSE), " ")</f>
        <v xml:space="preserve"> </v>
      </c>
      <c r="R65" s="32"/>
      <c r="S65" s="32"/>
      <c r="T65" s="53"/>
      <c r="U65" s="54" t="str">
        <f>IFERROR(VLOOKUP(December[[#This Row],[Drug Name2]],'Data Options'!$R$1:$S$100,2,FALSE), " ")</f>
        <v xml:space="preserve"> </v>
      </c>
      <c r="V65" s="32"/>
      <c r="W65" s="32"/>
      <c r="X65" s="53"/>
      <c r="Y65" s="54" t="str">
        <f>IFERROR(VLOOKUP(December[[#This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54" t="str">
        <f>IFERROR(VLOOKUP(December[[#This Row],[Drug Name4]],'Data Options'!$R$1:$S$100,2,FALSE), " ")</f>
        <v xml:space="preserve"> </v>
      </c>
      <c r="AI65" s="32"/>
      <c r="AJ65" s="32"/>
      <c r="AK65" s="53"/>
      <c r="AL65" s="54" t="str">
        <f>IFERROR(VLOOKUP(December[[#This Row],[Drug Name5]],'Data Options'!$R$1:$S$100,2,FALSE), " ")</f>
        <v xml:space="preserve"> </v>
      </c>
      <c r="AM65" s="32"/>
      <c r="AN65" s="32"/>
      <c r="AO65" s="53"/>
      <c r="AP65" s="54" t="str">
        <f>IFERROR(VLOOKUP(December[[#This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54" t="str">
        <f>IFERROR(VLOOKUP(December[[#This Row],[Drug Name7]],'Data Options'!$R$1:$S$100,2,FALSE), " ")</f>
        <v xml:space="preserve"> </v>
      </c>
      <c r="AZ65" s="32"/>
      <c r="BA65" s="32"/>
      <c r="BB65" s="53"/>
      <c r="BC65" s="54" t="str">
        <f>IFERROR(VLOOKUP(December[[#This Row],[Drug Name8]],'Data Options'!$R$1:$S$100,2,FALSE), " ")</f>
        <v xml:space="preserve"> </v>
      </c>
      <c r="BD65" s="32"/>
      <c r="BE65" s="32"/>
      <c r="BF65" s="53"/>
      <c r="BG65" s="54" t="str">
        <f>IFERROR(VLOOKUP(December[[#This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54" t="str">
        <f>IFERROR(VLOOKUP(December[[#This Row],[Drug Name]],'Data Options'!$R$1:$S$100,2,FALSE), " ")</f>
        <v xml:space="preserve"> </v>
      </c>
      <c r="R66" s="32"/>
      <c r="S66" s="32"/>
      <c r="T66" s="53"/>
      <c r="U66" s="54" t="str">
        <f>IFERROR(VLOOKUP(December[[#This Row],[Drug Name2]],'Data Options'!$R$1:$S$100,2,FALSE), " ")</f>
        <v xml:space="preserve"> </v>
      </c>
      <c r="V66" s="32"/>
      <c r="W66" s="32"/>
      <c r="X66" s="53"/>
      <c r="Y66" s="54" t="str">
        <f>IFERROR(VLOOKUP(December[[#This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54" t="str">
        <f>IFERROR(VLOOKUP(December[[#This Row],[Drug Name4]],'Data Options'!$R$1:$S$100,2,FALSE), " ")</f>
        <v xml:space="preserve"> </v>
      </c>
      <c r="AI66" s="32"/>
      <c r="AJ66" s="32"/>
      <c r="AK66" s="53"/>
      <c r="AL66" s="54" t="str">
        <f>IFERROR(VLOOKUP(December[[#This Row],[Drug Name5]],'Data Options'!$R$1:$S$100,2,FALSE), " ")</f>
        <v xml:space="preserve"> </v>
      </c>
      <c r="AM66" s="32"/>
      <c r="AN66" s="32"/>
      <c r="AO66" s="53"/>
      <c r="AP66" s="54" t="str">
        <f>IFERROR(VLOOKUP(December[[#This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54" t="str">
        <f>IFERROR(VLOOKUP(December[[#This Row],[Drug Name7]],'Data Options'!$R$1:$S$100,2,FALSE), " ")</f>
        <v xml:space="preserve"> </v>
      </c>
      <c r="AZ66" s="32"/>
      <c r="BA66" s="32"/>
      <c r="BB66" s="53"/>
      <c r="BC66" s="54" t="str">
        <f>IFERROR(VLOOKUP(December[[#This Row],[Drug Name8]],'Data Options'!$R$1:$S$100,2,FALSE), " ")</f>
        <v xml:space="preserve"> </v>
      </c>
      <c r="BD66" s="32"/>
      <c r="BE66" s="32"/>
      <c r="BF66" s="53"/>
      <c r="BG66" s="54" t="str">
        <f>IFERROR(VLOOKUP(December[[#This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54" t="str">
        <f>IFERROR(VLOOKUP(December[[#This Row],[Drug Name]],'Data Options'!$R$1:$S$100,2,FALSE), " ")</f>
        <v xml:space="preserve"> </v>
      </c>
      <c r="R67" s="32"/>
      <c r="S67" s="32"/>
      <c r="T67" s="53"/>
      <c r="U67" s="54" t="str">
        <f>IFERROR(VLOOKUP(December[[#This Row],[Drug Name2]],'Data Options'!$R$1:$S$100,2,FALSE), " ")</f>
        <v xml:space="preserve"> </v>
      </c>
      <c r="V67" s="32"/>
      <c r="W67" s="32"/>
      <c r="X67" s="53"/>
      <c r="Y67" s="54" t="str">
        <f>IFERROR(VLOOKUP(December[[#This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54" t="str">
        <f>IFERROR(VLOOKUP(December[[#This Row],[Drug Name4]],'Data Options'!$R$1:$S$100,2,FALSE), " ")</f>
        <v xml:space="preserve"> </v>
      </c>
      <c r="AI67" s="32"/>
      <c r="AJ67" s="32"/>
      <c r="AK67" s="53"/>
      <c r="AL67" s="54" t="str">
        <f>IFERROR(VLOOKUP(December[[#This Row],[Drug Name5]],'Data Options'!$R$1:$S$100,2,FALSE), " ")</f>
        <v xml:space="preserve"> </v>
      </c>
      <c r="AM67" s="32"/>
      <c r="AN67" s="32"/>
      <c r="AO67" s="53"/>
      <c r="AP67" s="54" t="str">
        <f>IFERROR(VLOOKUP(December[[#This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54" t="str">
        <f>IFERROR(VLOOKUP(December[[#This Row],[Drug Name7]],'Data Options'!$R$1:$S$100,2,FALSE), " ")</f>
        <v xml:space="preserve"> </v>
      </c>
      <c r="AZ67" s="32"/>
      <c r="BA67" s="32"/>
      <c r="BB67" s="53"/>
      <c r="BC67" s="54" t="str">
        <f>IFERROR(VLOOKUP(December[[#This Row],[Drug Name8]],'Data Options'!$R$1:$S$100,2,FALSE), " ")</f>
        <v xml:space="preserve"> </v>
      </c>
      <c r="BD67" s="32"/>
      <c r="BE67" s="32"/>
      <c r="BF67" s="53"/>
      <c r="BG67" s="54" t="str">
        <f>IFERROR(VLOOKUP(December[[#This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54" t="str">
        <f>IFERROR(VLOOKUP(December[[#This Row],[Drug Name]],'Data Options'!$R$1:$S$100,2,FALSE), " ")</f>
        <v xml:space="preserve"> </v>
      </c>
      <c r="R68" s="32"/>
      <c r="S68" s="32"/>
      <c r="T68" s="53"/>
      <c r="U68" s="54" t="str">
        <f>IFERROR(VLOOKUP(December[[#This Row],[Drug Name2]],'Data Options'!$R$1:$S$100,2,FALSE), " ")</f>
        <v xml:space="preserve"> </v>
      </c>
      <c r="V68" s="32"/>
      <c r="W68" s="32"/>
      <c r="X68" s="53"/>
      <c r="Y68" s="54" t="str">
        <f>IFERROR(VLOOKUP(December[[#This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54" t="str">
        <f>IFERROR(VLOOKUP(December[[#This Row],[Drug Name4]],'Data Options'!$R$1:$S$100,2,FALSE), " ")</f>
        <v xml:space="preserve"> </v>
      </c>
      <c r="AI68" s="32"/>
      <c r="AJ68" s="32"/>
      <c r="AK68" s="53"/>
      <c r="AL68" s="54" t="str">
        <f>IFERROR(VLOOKUP(December[[#This Row],[Drug Name5]],'Data Options'!$R$1:$S$100,2,FALSE), " ")</f>
        <v xml:space="preserve"> </v>
      </c>
      <c r="AM68" s="32"/>
      <c r="AN68" s="32"/>
      <c r="AO68" s="53"/>
      <c r="AP68" s="54" t="str">
        <f>IFERROR(VLOOKUP(December[[#This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54" t="str">
        <f>IFERROR(VLOOKUP(December[[#This Row],[Drug Name7]],'Data Options'!$R$1:$S$100,2,FALSE), " ")</f>
        <v xml:space="preserve"> </v>
      </c>
      <c r="AZ68" s="32"/>
      <c r="BA68" s="32"/>
      <c r="BB68" s="53"/>
      <c r="BC68" s="54" t="str">
        <f>IFERROR(VLOOKUP(December[[#This Row],[Drug Name8]],'Data Options'!$R$1:$S$100,2,FALSE), " ")</f>
        <v xml:space="preserve"> </v>
      </c>
      <c r="BD68" s="32"/>
      <c r="BE68" s="32"/>
      <c r="BF68" s="53"/>
      <c r="BG68" s="54" t="str">
        <f>IFERROR(VLOOKUP(December[[#This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54" t="str">
        <f>IFERROR(VLOOKUP(December[[#This Row],[Drug Name]],'Data Options'!$R$1:$S$100,2,FALSE), " ")</f>
        <v xml:space="preserve"> </v>
      </c>
      <c r="R69" s="32"/>
      <c r="S69" s="32"/>
      <c r="T69" s="53"/>
      <c r="U69" s="54" t="str">
        <f>IFERROR(VLOOKUP(December[[#This Row],[Drug Name2]],'Data Options'!$R$1:$S$100,2,FALSE), " ")</f>
        <v xml:space="preserve"> </v>
      </c>
      <c r="V69" s="32"/>
      <c r="W69" s="32"/>
      <c r="X69" s="53"/>
      <c r="Y69" s="54" t="str">
        <f>IFERROR(VLOOKUP(December[[#This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54" t="str">
        <f>IFERROR(VLOOKUP(December[[#This Row],[Drug Name4]],'Data Options'!$R$1:$S$100,2,FALSE), " ")</f>
        <v xml:space="preserve"> </v>
      </c>
      <c r="AI69" s="32"/>
      <c r="AJ69" s="32"/>
      <c r="AK69" s="53"/>
      <c r="AL69" s="54" t="str">
        <f>IFERROR(VLOOKUP(December[[#This Row],[Drug Name5]],'Data Options'!$R$1:$S$100,2,FALSE), " ")</f>
        <v xml:space="preserve"> </v>
      </c>
      <c r="AM69" s="32"/>
      <c r="AN69" s="32"/>
      <c r="AO69" s="53"/>
      <c r="AP69" s="54" t="str">
        <f>IFERROR(VLOOKUP(December[[#This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54" t="str">
        <f>IFERROR(VLOOKUP(December[[#This Row],[Drug Name7]],'Data Options'!$R$1:$S$100,2,FALSE), " ")</f>
        <v xml:space="preserve"> </v>
      </c>
      <c r="AZ69" s="32"/>
      <c r="BA69" s="32"/>
      <c r="BB69" s="53"/>
      <c r="BC69" s="54" t="str">
        <f>IFERROR(VLOOKUP(December[[#This Row],[Drug Name8]],'Data Options'!$R$1:$S$100,2,FALSE), " ")</f>
        <v xml:space="preserve"> </v>
      </c>
      <c r="BD69" s="32"/>
      <c r="BE69" s="32"/>
      <c r="BF69" s="53"/>
      <c r="BG69" s="54" t="str">
        <f>IFERROR(VLOOKUP(December[[#This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54" t="str">
        <f>IFERROR(VLOOKUP(December[[#This Row],[Drug Name]],'Data Options'!$R$1:$S$100,2,FALSE), " ")</f>
        <v xml:space="preserve"> </v>
      </c>
      <c r="R70" s="32"/>
      <c r="S70" s="32"/>
      <c r="T70" s="53"/>
      <c r="U70" s="54" t="str">
        <f>IFERROR(VLOOKUP(December[[#This Row],[Drug Name2]],'Data Options'!$R$1:$S$100,2,FALSE), " ")</f>
        <v xml:space="preserve"> </v>
      </c>
      <c r="V70" s="32"/>
      <c r="W70" s="32"/>
      <c r="X70" s="53"/>
      <c r="Y70" s="54" t="str">
        <f>IFERROR(VLOOKUP(December[[#This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54" t="str">
        <f>IFERROR(VLOOKUP(December[[#This Row],[Drug Name4]],'Data Options'!$R$1:$S$100,2,FALSE), " ")</f>
        <v xml:space="preserve"> </v>
      </c>
      <c r="AI70" s="32"/>
      <c r="AJ70" s="32"/>
      <c r="AK70" s="53"/>
      <c r="AL70" s="54" t="str">
        <f>IFERROR(VLOOKUP(December[[#This Row],[Drug Name5]],'Data Options'!$R$1:$S$100,2,FALSE), " ")</f>
        <v xml:space="preserve"> </v>
      </c>
      <c r="AM70" s="32"/>
      <c r="AN70" s="32"/>
      <c r="AO70" s="53"/>
      <c r="AP70" s="54" t="str">
        <f>IFERROR(VLOOKUP(December[[#This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54" t="str">
        <f>IFERROR(VLOOKUP(December[[#This Row],[Drug Name7]],'Data Options'!$R$1:$S$100,2,FALSE), " ")</f>
        <v xml:space="preserve"> </v>
      </c>
      <c r="AZ70" s="32"/>
      <c r="BA70" s="32"/>
      <c r="BB70" s="53"/>
      <c r="BC70" s="54" t="str">
        <f>IFERROR(VLOOKUP(December[[#This Row],[Drug Name8]],'Data Options'!$R$1:$S$100,2,FALSE), " ")</f>
        <v xml:space="preserve"> </v>
      </c>
      <c r="BD70" s="32"/>
      <c r="BE70" s="32"/>
      <c r="BF70" s="53"/>
      <c r="BG70" s="54" t="str">
        <f>IFERROR(VLOOKUP(December[[#This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54" t="str">
        <f>IFERROR(VLOOKUP(December[[#This Row],[Drug Name]],'Data Options'!$R$1:$S$100,2,FALSE), " ")</f>
        <v xml:space="preserve"> </v>
      </c>
      <c r="R71" s="32"/>
      <c r="S71" s="32"/>
      <c r="T71" s="53"/>
      <c r="U71" s="54" t="str">
        <f>IFERROR(VLOOKUP(December[[#This Row],[Drug Name2]],'Data Options'!$R$1:$S$100,2,FALSE), " ")</f>
        <v xml:space="preserve"> </v>
      </c>
      <c r="V71" s="32"/>
      <c r="W71" s="32"/>
      <c r="X71" s="53"/>
      <c r="Y71" s="54" t="str">
        <f>IFERROR(VLOOKUP(December[[#This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54" t="str">
        <f>IFERROR(VLOOKUP(December[[#This Row],[Drug Name4]],'Data Options'!$R$1:$S$100,2,FALSE), " ")</f>
        <v xml:space="preserve"> </v>
      </c>
      <c r="AI71" s="32"/>
      <c r="AJ71" s="32"/>
      <c r="AK71" s="53"/>
      <c r="AL71" s="54" t="str">
        <f>IFERROR(VLOOKUP(December[[#This Row],[Drug Name5]],'Data Options'!$R$1:$S$100,2,FALSE), " ")</f>
        <v xml:space="preserve"> </v>
      </c>
      <c r="AM71" s="32"/>
      <c r="AN71" s="32"/>
      <c r="AO71" s="53"/>
      <c r="AP71" s="54" t="str">
        <f>IFERROR(VLOOKUP(December[[#This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54" t="str">
        <f>IFERROR(VLOOKUP(December[[#This Row],[Drug Name7]],'Data Options'!$R$1:$S$100,2,FALSE), " ")</f>
        <v xml:space="preserve"> </v>
      </c>
      <c r="AZ71" s="32"/>
      <c r="BA71" s="32"/>
      <c r="BB71" s="53"/>
      <c r="BC71" s="54" t="str">
        <f>IFERROR(VLOOKUP(December[[#This Row],[Drug Name8]],'Data Options'!$R$1:$S$100,2,FALSE), " ")</f>
        <v xml:space="preserve"> </v>
      </c>
      <c r="BD71" s="32"/>
      <c r="BE71" s="32"/>
      <c r="BF71" s="53"/>
      <c r="BG71" s="54" t="str">
        <f>IFERROR(VLOOKUP(December[[#This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54" t="str">
        <f>IFERROR(VLOOKUP(December[[#This Row],[Drug Name]],'Data Options'!$R$1:$S$100,2,FALSE), " ")</f>
        <v xml:space="preserve"> </v>
      </c>
      <c r="R72" s="32"/>
      <c r="S72" s="32"/>
      <c r="T72" s="53"/>
      <c r="U72" s="54" t="str">
        <f>IFERROR(VLOOKUP(December[[#This Row],[Drug Name2]],'Data Options'!$R$1:$S$100,2,FALSE), " ")</f>
        <v xml:space="preserve"> </v>
      </c>
      <c r="V72" s="32"/>
      <c r="W72" s="32"/>
      <c r="X72" s="53"/>
      <c r="Y72" s="54" t="str">
        <f>IFERROR(VLOOKUP(December[[#This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54" t="str">
        <f>IFERROR(VLOOKUP(December[[#This Row],[Drug Name4]],'Data Options'!$R$1:$S$100,2,FALSE), " ")</f>
        <v xml:space="preserve"> </v>
      </c>
      <c r="AI72" s="32"/>
      <c r="AJ72" s="32"/>
      <c r="AK72" s="53"/>
      <c r="AL72" s="54" t="str">
        <f>IFERROR(VLOOKUP(December[[#This Row],[Drug Name5]],'Data Options'!$R$1:$S$100,2,FALSE), " ")</f>
        <v xml:space="preserve"> </v>
      </c>
      <c r="AM72" s="32"/>
      <c r="AN72" s="32"/>
      <c r="AO72" s="53"/>
      <c r="AP72" s="54" t="str">
        <f>IFERROR(VLOOKUP(December[[#This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54" t="str">
        <f>IFERROR(VLOOKUP(December[[#This Row],[Drug Name7]],'Data Options'!$R$1:$S$100,2,FALSE), " ")</f>
        <v xml:space="preserve"> </v>
      </c>
      <c r="AZ72" s="32"/>
      <c r="BA72" s="32"/>
      <c r="BB72" s="53"/>
      <c r="BC72" s="54" t="str">
        <f>IFERROR(VLOOKUP(December[[#This Row],[Drug Name8]],'Data Options'!$R$1:$S$100,2,FALSE), " ")</f>
        <v xml:space="preserve"> </v>
      </c>
      <c r="BD72" s="32"/>
      <c r="BE72" s="32"/>
      <c r="BF72" s="53"/>
      <c r="BG72" s="54" t="str">
        <f>IFERROR(VLOOKUP(December[[#This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54" t="str">
        <f>IFERROR(VLOOKUP(December[[#This Row],[Drug Name]],'Data Options'!$R$1:$S$100,2,FALSE), " ")</f>
        <v xml:space="preserve"> </v>
      </c>
      <c r="R73" s="32"/>
      <c r="S73" s="32"/>
      <c r="T73" s="53"/>
      <c r="U73" s="54" t="str">
        <f>IFERROR(VLOOKUP(December[[#This Row],[Drug Name2]],'Data Options'!$R$1:$S$100,2,FALSE), " ")</f>
        <v xml:space="preserve"> </v>
      </c>
      <c r="V73" s="32"/>
      <c r="W73" s="32"/>
      <c r="X73" s="53"/>
      <c r="Y73" s="54" t="str">
        <f>IFERROR(VLOOKUP(December[[#This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54" t="str">
        <f>IFERROR(VLOOKUP(December[[#This Row],[Drug Name4]],'Data Options'!$R$1:$S$100,2,FALSE), " ")</f>
        <v xml:space="preserve"> </v>
      </c>
      <c r="AI73" s="32"/>
      <c r="AJ73" s="32"/>
      <c r="AK73" s="53"/>
      <c r="AL73" s="54" t="str">
        <f>IFERROR(VLOOKUP(December[[#This Row],[Drug Name5]],'Data Options'!$R$1:$S$100,2,FALSE), " ")</f>
        <v xml:space="preserve"> </v>
      </c>
      <c r="AM73" s="32"/>
      <c r="AN73" s="32"/>
      <c r="AO73" s="53"/>
      <c r="AP73" s="54" t="str">
        <f>IFERROR(VLOOKUP(December[[#This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54" t="str">
        <f>IFERROR(VLOOKUP(December[[#This Row],[Drug Name7]],'Data Options'!$R$1:$S$100,2,FALSE), " ")</f>
        <v xml:space="preserve"> </v>
      </c>
      <c r="AZ73" s="32"/>
      <c r="BA73" s="32"/>
      <c r="BB73" s="53"/>
      <c r="BC73" s="54" t="str">
        <f>IFERROR(VLOOKUP(December[[#This Row],[Drug Name8]],'Data Options'!$R$1:$S$100,2,FALSE), " ")</f>
        <v xml:space="preserve"> </v>
      </c>
      <c r="BD73" s="32"/>
      <c r="BE73" s="32"/>
      <c r="BF73" s="53"/>
      <c r="BG73" s="54" t="str">
        <f>IFERROR(VLOOKUP(December[[#This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54" t="str">
        <f>IFERROR(VLOOKUP(December[[#This Row],[Drug Name]],'Data Options'!$R$1:$S$100,2,FALSE), " ")</f>
        <v xml:space="preserve"> </v>
      </c>
      <c r="R74" s="32"/>
      <c r="S74" s="32"/>
      <c r="T74" s="53"/>
      <c r="U74" s="54" t="str">
        <f>IFERROR(VLOOKUP(December[[#This Row],[Drug Name2]],'Data Options'!$R$1:$S$100,2,FALSE), " ")</f>
        <v xml:space="preserve"> </v>
      </c>
      <c r="V74" s="32"/>
      <c r="W74" s="32"/>
      <c r="X74" s="53"/>
      <c r="Y74" s="54" t="str">
        <f>IFERROR(VLOOKUP(December[[#This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54" t="str">
        <f>IFERROR(VLOOKUP(December[[#This Row],[Drug Name4]],'Data Options'!$R$1:$S$100,2,FALSE), " ")</f>
        <v xml:space="preserve"> </v>
      </c>
      <c r="AI74" s="32"/>
      <c r="AJ74" s="32"/>
      <c r="AK74" s="53"/>
      <c r="AL74" s="54" t="str">
        <f>IFERROR(VLOOKUP(December[[#This Row],[Drug Name5]],'Data Options'!$R$1:$S$100,2,FALSE), " ")</f>
        <v xml:space="preserve"> </v>
      </c>
      <c r="AM74" s="32"/>
      <c r="AN74" s="32"/>
      <c r="AO74" s="53"/>
      <c r="AP74" s="54" t="str">
        <f>IFERROR(VLOOKUP(December[[#This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54" t="str">
        <f>IFERROR(VLOOKUP(December[[#This Row],[Drug Name7]],'Data Options'!$R$1:$S$100,2,FALSE), " ")</f>
        <v xml:space="preserve"> </v>
      </c>
      <c r="AZ74" s="32"/>
      <c r="BA74" s="32"/>
      <c r="BB74" s="53"/>
      <c r="BC74" s="54" t="str">
        <f>IFERROR(VLOOKUP(December[[#This Row],[Drug Name8]],'Data Options'!$R$1:$S$100,2,FALSE), " ")</f>
        <v xml:space="preserve"> </v>
      </c>
      <c r="BD74" s="32"/>
      <c r="BE74" s="32"/>
      <c r="BF74" s="53"/>
      <c r="BG74" s="54" t="str">
        <f>IFERROR(VLOOKUP(December[[#This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54" t="str">
        <f>IFERROR(VLOOKUP(December[[#This Row],[Drug Name]],'Data Options'!$R$1:$S$100,2,FALSE), " ")</f>
        <v xml:space="preserve"> </v>
      </c>
      <c r="R75" s="32"/>
      <c r="S75" s="32"/>
      <c r="T75" s="53"/>
      <c r="U75" s="54" t="str">
        <f>IFERROR(VLOOKUP(December[[#This Row],[Drug Name2]],'Data Options'!$R$1:$S$100,2,FALSE), " ")</f>
        <v xml:space="preserve"> </v>
      </c>
      <c r="V75" s="32"/>
      <c r="W75" s="32"/>
      <c r="X75" s="53"/>
      <c r="Y75" s="54" t="str">
        <f>IFERROR(VLOOKUP(December[[#This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54" t="str">
        <f>IFERROR(VLOOKUP(December[[#This Row],[Drug Name4]],'Data Options'!$R$1:$S$100,2,FALSE), " ")</f>
        <v xml:space="preserve"> </v>
      </c>
      <c r="AI75" s="32"/>
      <c r="AJ75" s="32"/>
      <c r="AK75" s="53"/>
      <c r="AL75" s="54" t="str">
        <f>IFERROR(VLOOKUP(December[[#This Row],[Drug Name5]],'Data Options'!$R$1:$S$100,2,FALSE), " ")</f>
        <v xml:space="preserve"> </v>
      </c>
      <c r="AM75" s="32"/>
      <c r="AN75" s="32"/>
      <c r="AO75" s="53"/>
      <c r="AP75" s="54" t="str">
        <f>IFERROR(VLOOKUP(December[[#This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54" t="str">
        <f>IFERROR(VLOOKUP(December[[#This Row],[Drug Name7]],'Data Options'!$R$1:$S$100,2,FALSE), " ")</f>
        <v xml:space="preserve"> </v>
      </c>
      <c r="AZ75" s="32"/>
      <c r="BA75" s="32"/>
      <c r="BB75" s="53"/>
      <c r="BC75" s="54" t="str">
        <f>IFERROR(VLOOKUP(December[[#This Row],[Drug Name8]],'Data Options'!$R$1:$S$100,2,FALSE), " ")</f>
        <v xml:space="preserve"> </v>
      </c>
      <c r="BD75" s="32"/>
      <c r="BE75" s="32"/>
      <c r="BF75" s="53"/>
      <c r="BG75" s="54" t="str">
        <f>IFERROR(VLOOKUP(December[[#This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54" t="str">
        <f>IFERROR(VLOOKUP(December[[#This Row],[Drug Name]],'Data Options'!$R$1:$S$100,2,FALSE), " ")</f>
        <v xml:space="preserve"> </v>
      </c>
      <c r="R76" s="32"/>
      <c r="S76" s="32"/>
      <c r="T76" s="53"/>
      <c r="U76" s="54" t="str">
        <f>IFERROR(VLOOKUP(December[[#This Row],[Drug Name2]],'Data Options'!$R$1:$S$100,2,FALSE), " ")</f>
        <v xml:space="preserve"> </v>
      </c>
      <c r="V76" s="32"/>
      <c r="W76" s="32"/>
      <c r="X76" s="53"/>
      <c r="Y76" s="54" t="str">
        <f>IFERROR(VLOOKUP(December[[#This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54" t="str">
        <f>IFERROR(VLOOKUP(December[[#This Row],[Drug Name4]],'Data Options'!$R$1:$S$100,2,FALSE), " ")</f>
        <v xml:space="preserve"> </v>
      </c>
      <c r="AI76" s="32"/>
      <c r="AJ76" s="32"/>
      <c r="AK76" s="53"/>
      <c r="AL76" s="54" t="str">
        <f>IFERROR(VLOOKUP(December[[#This Row],[Drug Name5]],'Data Options'!$R$1:$S$100,2,FALSE), " ")</f>
        <v xml:space="preserve"> </v>
      </c>
      <c r="AM76" s="32"/>
      <c r="AN76" s="32"/>
      <c r="AO76" s="53"/>
      <c r="AP76" s="54" t="str">
        <f>IFERROR(VLOOKUP(December[[#This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54" t="str">
        <f>IFERROR(VLOOKUP(December[[#This Row],[Drug Name7]],'Data Options'!$R$1:$S$100,2,FALSE), " ")</f>
        <v xml:space="preserve"> </v>
      </c>
      <c r="AZ76" s="32"/>
      <c r="BA76" s="32"/>
      <c r="BB76" s="53"/>
      <c r="BC76" s="54" t="str">
        <f>IFERROR(VLOOKUP(December[[#This Row],[Drug Name8]],'Data Options'!$R$1:$S$100,2,FALSE), " ")</f>
        <v xml:space="preserve"> </v>
      </c>
      <c r="BD76" s="32"/>
      <c r="BE76" s="32"/>
      <c r="BF76" s="53"/>
      <c r="BG76" s="54" t="str">
        <f>IFERROR(VLOOKUP(December[[#This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54" t="str">
        <f>IFERROR(VLOOKUP(December[[#This Row],[Drug Name]],'Data Options'!$R$1:$S$100,2,FALSE), " ")</f>
        <v xml:space="preserve"> </v>
      </c>
      <c r="R77" s="32"/>
      <c r="S77" s="32"/>
      <c r="T77" s="53"/>
      <c r="U77" s="54" t="str">
        <f>IFERROR(VLOOKUP(December[[#This Row],[Drug Name2]],'Data Options'!$R$1:$S$100,2,FALSE), " ")</f>
        <v xml:space="preserve"> </v>
      </c>
      <c r="V77" s="32"/>
      <c r="W77" s="32"/>
      <c r="X77" s="53"/>
      <c r="Y77" s="54" t="str">
        <f>IFERROR(VLOOKUP(December[[#This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54" t="str">
        <f>IFERROR(VLOOKUP(December[[#This Row],[Drug Name4]],'Data Options'!$R$1:$S$100,2,FALSE), " ")</f>
        <v xml:space="preserve"> </v>
      </c>
      <c r="AI77" s="32"/>
      <c r="AJ77" s="32"/>
      <c r="AK77" s="53"/>
      <c r="AL77" s="54" t="str">
        <f>IFERROR(VLOOKUP(December[[#This Row],[Drug Name5]],'Data Options'!$R$1:$S$100,2,FALSE), " ")</f>
        <v xml:space="preserve"> </v>
      </c>
      <c r="AM77" s="32"/>
      <c r="AN77" s="32"/>
      <c r="AO77" s="53"/>
      <c r="AP77" s="54" t="str">
        <f>IFERROR(VLOOKUP(December[[#This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54" t="str">
        <f>IFERROR(VLOOKUP(December[[#This Row],[Drug Name7]],'Data Options'!$R$1:$S$100,2,FALSE), " ")</f>
        <v xml:space="preserve"> </v>
      </c>
      <c r="AZ77" s="32"/>
      <c r="BA77" s="32"/>
      <c r="BB77" s="53"/>
      <c r="BC77" s="54" t="str">
        <f>IFERROR(VLOOKUP(December[[#This Row],[Drug Name8]],'Data Options'!$R$1:$S$100,2,FALSE), " ")</f>
        <v xml:space="preserve"> </v>
      </c>
      <c r="BD77" s="32"/>
      <c r="BE77" s="32"/>
      <c r="BF77" s="53"/>
      <c r="BG77" s="54" t="str">
        <f>IFERROR(VLOOKUP(December[[#This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54" t="str">
        <f>IFERROR(VLOOKUP(December[[#This Row],[Drug Name]],'Data Options'!$R$1:$S$100,2,FALSE), " ")</f>
        <v xml:space="preserve"> </v>
      </c>
      <c r="R78" s="32"/>
      <c r="S78" s="32"/>
      <c r="T78" s="53"/>
      <c r="U78" s="54" t="str">
        <f>IFERROR(VLOOKUP(December[[#This Row],[Drug Name2]],'Data Options'!$R$1:$S$100,2,FALSE), " ")</f>
        <v xml:space="preserve"> </v>
      </c>
      <c r="V78" s="32"/>
      <c r="W78" s="32"/>
      <c r="X78" s="53"/>
      <c r="Y78" s="54" t="str">
        <f>IFERROR(VLOOKUP(December[[#This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54" t="str">
        <f>IFERROR(VLOOKUP(December[[#This Row],[Drug Name4]],'Data Options'!$R$1:$S$100,2,FALSE), " ")</f>
        <v xml:space="preserve"> </v>
      </c>
      <c r="AI78" s="32"/>
      <c r="AJ78" s="32"/>
      <c r="AK78" s="53"/>
      <c r="AL78" s="54" t="str">
        <f>IFERROR(VLOOKUP(December[[#This Row],[Drug Name5]],'Data Options'!$R$1:$S$100,2,FALSE), " ")</f>
        <v xml:space="preserve"> </v>
      </c>
      <c r="AM78" s="32"/>
      <c r="AN78" s="32"/>
      <c r="AO78" s="53"/>
      <c r="AP78" s="54" t="str">
        <f>IFERROR(VLOOKUP(December[[#This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54" t="str">
        <f>IFERROR(VLOOKUP(December[[#This Row],[Drug Name7]],'Data Options'!$R$1:$S$100,2,FALSE), " ")</f>
        <v xml:space="preserve"> </v>
      </c>
      <c r="AZ78" s="32"/>
      <c r="BA78" s="32"/>
      <c r="BB78" s="53"/>
      <c r="BC78" s="54" t="str">
        <f>IFERROR(VLOOKUP(December[[#This Row],[Drug Name8]],'Data Options'!$R$1:$S$100,2,FALSE), " ")</f>
        <v xml:space="preserve"> </v>
      </c>
      <c r="BD78" s="32"/>
      <c r="BE78" s="32"/>
      <c r="BF78" s="53"/>
      <c r="BG78" s="54" t="str">
        <f>IFERROR(VLOOKUP(December[[#This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54" t="str">
        <f>IFERROR(VLOOKUP(December[[#This Row],[Drug Name]],'Data Options'!$R$1:$S$100,2,FALSE), " ")</f>
        <v xml:space="preserve"> </v>
      </c>
      <c r="R79" s="32"/>
      <c r="S79" s="32"/>
      <c r="T79" s="53"/>
      <c r="U79" s="54" t="str">
        <f>IFERROR(VLOOKUP(December[[#This Row],[Drug Name2]],'Data Options'!$R$1:$S$100,2,FALSE), " ")</f>
        <v xml:space="preserve"> </v>
      </c>
      <c r="V79" s="32"/>
      <c r="W79" s="32"/>
      <c r="X79" s="53"/>
      <c r="Y79" s="54" t="str">
        <f>IFERROR(VLOOKUP(December[[#This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54" t="str">
        <f>IFERROR(VLOOKUP(December[[#This Row],[Drug Name4]],'Data Options'!$R$1:$S$100,2,FALSE), " ")</f>
        <v xml:space="preserve"> </v>
      </c>
      <c r="AI79" s="32"/>
      <c r="AJ79" s="32"/>
      <c r="AK79" s="53"/>
      <c r="AL79" s="54" t="str">
        <f>IFERROR(VLOOKUP(December[[#This Row],[Drug Name5]],'Data Options'!$R$1:$S$100,2,FALSE), " ")</f>
        <v xml:space="preserve"> </v>
      </c>
      <c r="AM79" s="32"/>
      <c r="AN79" s="32"/>
      <c r="AO79" s="53"/>
      <c r="AP79" s="54" t="str">
        <f>IFERROR(VLOOKUP(December[[#This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54" t="str">
        <f>IFERROR(VLOOKUP(December[[#This Row],[Drug Name7]],'Data Options'!$R$1:$S$100,2,FALSE), " ")</f>
        <v xml:space="preserve"> </v>
      </c>
      <c r="AZ79" s="32"/>
      <c r="BA79" s="32"/>
      <c r="BB79" s="53"/>
      <c r="BC79" s="54" t="str">
        <f>IFERROR(VLOOKUP(December[[#This Row],[Drug Name8]],'Data Options'!$R$1:$S$100,2,FALSE), " ")</f>
        <v xml:space="preserve"> </v>
      </c>
      <c r="BD79" s="32"/>
      <c r="BE79" s="32"/>
      <c r="BF79" s="53"/>
      <c r="BG79" s="54" t="str">
        <f>IFERROR(VLOOKUP(December[[#This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54" t="str">
        <f>IFERROR(VLOOKUP(December[[#This Row],[Drug Name]],'Data Options'!$R$1:$S$100,2,FALSE), " ")</f>
        <v xml:space="preserve"> </v>
      </c>
      <c r="R80" s="32"/>
      <c r="S80" s="32"/>
      <c r="T80" s="53"/>
      <c r="U80" s="54" t="str">
        <f>IFERROR(VLOOKUP(December[[#This Row],[Drug Name2]],'Data Options'!$R$1:$S$100,2,FALSE), " ")</f>
        <v xml:space="preserve"> </v>
      </c>
      <c r="V80" s="32"/>
      <c r="W80" s="32"/>
      <c r="X80" s="53"/>
      <c r="Y80" s="54" t="str">
        <f>IFERROR(VLOOKUP(December[[#This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54" t="str">
        <f>IFERROR(VLOOKUP(December[[#This Row],[Drug Name4]],'Data Options'!$R$1:$S$100,2,FALSE), " ")</f>
        <v xml:space="preserve"> </v>
      </c>
      <c r="AI80" s="32"/>
      <c r="AJ80" s="32"/>
      <c r="AK80" s="53"/>
      <c r="AL80" s="54" t="str">
        <f>IFERROR(VLOOKUP(December[[#This Row],[Drug Name5]],'Data Options'!$R$1:$S$100,2,FALSE), " ")</f>
        <v xml:space="preserve"> </v>
      </c>
      <c r="AM80" s="32"/>
      <c r="AN80" s="32"/>
      <c r="AO80" s="53"/>
      <c r="AP80" s="54" t="str">
        <f>IFERROR(VLOOKUP(December[[#This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54" t="str">
        <f>IFERROR(VLOOKUP(December[[#This Row],[Drug Name7]],'Data Options'!$R$1:$S$100,2,FALSE), " ")</f>
        <v xml:space="preserve"> </v>
      </c>
      <c r="AZ80" s="32"/>
      <c r="BA80" s="32"/>
      <c r="BB80" s="53"/>
      <c r="BC80" s="54" t="str">
        <f>IFERROR(VLOOKUP(December[[#This Row],[Drug Name8]],'Data Options'!$R$1:$S$100,2,FALSE), " ")</f>
        <v xml:space="preserve"> </v>
      </c>
      <c r="BD80" s="32"/>
      <c r="BE80" s="32"/>
      <c r="BF80" s="53"/>
      <c r="BG80" s="54" t="str">
        <f>IFERROR(VLOOKUP(December[[#This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54" t="str">
        <f>IFERROR(VLOOKUP(December[[#This Row],[Drug Name]],'Data Options'!$R$1:$S$100,2,FALSE), " ")</f>
        <v xml:space="preserve"> </v>
      </c>
      <c r="R81" s="32"/>
      <c r="S81" s="32"/>
      <c r="T81" s="53"/>
      <c r="U81" s="54" t="str">
        <f>IFERROR(VLOOKUP(December[[#This Row],[Drug Name2]],'Data Options'!$R$1:$S$100,2,FALSE), " ")</f>
        <v xml:space="preserve"> </v>
      </c>
      <c r="V81" s="32"/>
      <c r="W81" s="32"/>
      <c r="X81" s="53"/>
      <c r="Y81" s="54" t="str">
        <f>IFERROR(VLOOKUP(December[[#This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54" t="str">
        <f>IFERROR(VLOOKUP(December[[#This Row],[Drug Name4]],'Data Options'!$R$1:$S$100,2,FALSE), " ")</f>
        <v xml:space="preserve"> </v>
      </c>
      <c r="AI81" s="32"/>
      <c r="AJ81" s="32"/>
      <c r="AK81" s="53"/>
      <c r="AL81" s="54" t="str">
        <f>IFERROR(VLOOKUP(December[[#This Row],[Drug Name5]],'Data Options'!$R$1:$S$100,2,FALSE), " ")</f>
        <v xml:space="preserve"> </v>
      </c>
      <c r="AM81" s="32"/>
      <c r="AN81" s="32"/>
      <c r="AO81" s="53"/>
      <c r="AP81" s="54" t="str">
        <f>IFERROR(VLOOKUP(December[[#This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54" t="str">
        <f>IFERROR(VLOOKUP(December[[#This Row],[Drug Name7]],'Data Options'!$R$1:$S$100,2,FALSE), " ")</f>
        <v xml:space="preserve"> </v>
      </c>
      <c r="AZ81" s="32"/>
      <c r="BA81" s="32"/>
      <c r="BB81" s="53"/>
      <c r="BC81" s="54" t="str">
        <f>IFERROR(VLOOKUP(December[[#This Row],[Drug Name8]],'Data Options'!$R$1:$S$100,2,FALSE), " ")</f>
        <v xml:space="preserve"> </v>
      </c>
      <c r="BD81" s="32"/>
      <c r="BE81" s="32"/>
      <c r="BF81" s="53"/>
      <c r="BG81" s="54" t="str">
        <f>IFERROR(VLOOKUP(December[[#This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54" t="str">
        <f>IFERROR(VLOOKUP(December[[#This Row],[Drug Name]],'Data Options'!$R$1:$S$100,2,FALSE), " ")</f>
        <v xml:space="preserve"> </v>
      </c>
      <c r="R82" s="32"/>
      <c r="S82" s="32"/>
      <c r="T82" s="53"/>
      <c r="U82" s="54" t="str">
        <f>IFERROR(VLOOKUP(December[[#This Row],[Drug Name2]],'Data Options'!$R$1:$S$100,2,FALSE), " ")</f>
        <v xml:space="preserve"> </v>
      </c>
      <c r="V82" s="32"/>
      <c r="W82" s="32"/>
      <c r="X82" s="53"/>
      <c r="Y82" s="54" t="str">
        <f>IFERROR(VLOOKUP(December[[#This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54" t="str">
        <f>IFERROR(VLOOKUP(December[[#This Row],[Drug Name4]],'Data Options'!$R$1:$S$100,2,FALSE), " ")</f>
        <v xml:space="preserve"> </v>
      </c>
      <c r="AI82" s="32"/>
      <c r="AJ82" s="32"/>
      <c r="AK82" s="53"/>
      <c r="AL82" s="54" t="str">
        <f>IFERROR(VLOOKUP(December[[#This Row],[Drug Name5]],'Data Options'!$R$1:$S$100,2,FALSE), " ")</f>
        <v xml:space="preserve"> </v>
      </c>
      <c r="AM82" s="32"/>
      <c r="AN82" s="32"/>
      <c r="AO82" s="53"/>
      <c r="AP82" s="54" t="str">
        <f>IFERROR(VLOOKUP(December[[#This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54" t="str">
        <f>IFERROR(VLOOKUP(December[[#This Row],[Drug Name7]],'Data Options'!$R$1:$S$100,2,FALSE), " ")</f>
        <v xml:space="preserve"> </v>
      </c>
      <c r="AZ82" s="32"/>
      <c r="BA82" s="32"/>
      <c r="BB82" s="53"/>
      <c r="BC82" s="54" t="str">
        <f>IFERROR(VLOOKUP(December[[#This Row],[Drug Name8]],'Data Options'!$R$1:$S$100,2,FALSE), " ")</f>
        <v xml:space="preserve"> </v>
      </c>
      <c r="BD82" s="32"/>
      <c r="BE82" s="32"/>
      <c r="BF82" s="53"/>
      <c r="BG82" s="54" t="str">
        <f>IFERROR(VLOOKUP(December[[#This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54" t="str">
        <f>IFERROR(VLOOKUP(December[[#This Row],[Drug Name]],'Data Options'!$R$1:$S$100,2,FALSE), " ")</f>
        <v xml:space="preserve"> </v>
      </c>
      <c r="R83" s="32"/>
      <c r="S83" s="32"/>
      <c r="T83" s="53"/>
      <c r="U83" s="54" t="str">
        <f>IFERROR(VLOOKUP(December[[#This Row],[Drug Name2]],'Data Options'!$R$1:$S$100,2,FALSE), " ")</f>
        <v xml:space="preserve"> </v>
      </c>
      <c r="V83" s="32"/>
      <c r="W83" s="32"/>
      <c r="X83" s="53"/>
      <c r="Y83" s="54" t="str">
        <f>IFERROR(VLOOKUP(December[[#This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54" t="str">
        <f>IFERROR(VLOOKUP(December[[#This Row],[Drug Name4]],'Data Options'!$R$1:$S$100,2,FALSE), " ")</f>
        <v xml:space="preserve"> </v>
      </c>
      <c r="AI83" s="32"/>
      <c r="AJ83" s="32"/>
      <c r="AK83" s="53"/>
      <c r="AL83" s="54" t="str">
        <f>IFERROR(VLOOKUP(December[[#This Row],[Drug Name5]],'Data Options'!$R$1:$S$100,2,FALSE), " ")</f>
        <v xml:space="preserve"> </v>
      </c>
      <c r="AM83" s="32"/>
      <c r="AN83" s="32"/>
      <c r="AO83" s="53"/>
      <c r="AP83" s="54" t="str">
        <f>IFERROR(VLOOKUP(December[[#This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54" t="str">
        <f>IFERROR(VLOOKUP(December[[#This Row],[Drug Name7]],'Data Options'!$R$1:$S$100,2,FALSE), " ")</f>
        <v xml:space="preserve"> </v>
      </c>
      <c r="AZ83" s="32"/>
      <c r="BA83" s="32"/>
      <c r="BB83" s="53"/>
      <c r="BC83" s="54" t="str">
        <f>IFERROR(VLOOKUP(December[[#This Row],[Drug Name8]],'Data Options'!$R$1:$S$100,2,FALSE), " ")</f>
        <v xml:space="preserve"> </v>
      </c>
      <c r="BD83" s="32"/>
      <c r="BE83" s="32"/>
      <c r="BF83" s="53"/>
      <c r="BG83" s="54" t="str">
        <f>IFERROR(VLOOKUP(December[[#This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54" t="str">
        <f>IFERROR(VLOOKUP(December[[#This Row],[Drug Name]],'Data Options'!$R$1:$S$100,2,FALSE), " ")</f>
        <v xml:space="preserve"> </v>
      </c>
      <c r="R84" s="32"/>
      <c r="S84" s="32"/>
      <c r="T84" s="53"/>
      <c r="U84" s="54" t="str">
        <f>IFERROR(VLOOKUP(December[[#This Row],[Drug Name2]],'Data Options'!$R$1:$S$100,2,FALSE), " ")</f>
        <v xml:space="preserve"> </v>
      </c>
      <c r="V84" s="32"/>
      <c r="W84" s="32"/>
      <c r="X84" s="53"/>
      <c r="Y84" s="54" t="str">
        <f>IFERROR(VLOOKUP(December[[#This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54" t="str">
        <f>IFERROR(VLOOKUP(December[[#This Row],[Drug Name4]],'Data Options'!$R$1:$S$100,2,FALSE), " ")</f>
        <v xml:space="preserve"> </v>
      </c>
      <c r="AI84" s="32"/>
      <c r="AJ84" s="32"/>
      <c r="AK84" s="53"/>
      <c r="AL84" s="54" t="str">
        <f>IFERROR(VLOOKUP(December[[#This Row],[Drug Name5]],'Data Options'!$R$1:$S$100,2,FALSE), " ")</f>
        <v xml:space="preserve"> </v>
      </c>
      <c r="AM84" s="32"/>
      <c r="AN84" s="32"/>
      <c r="AO84" s="53"/>
      <c r="AP84" s="54" t="str">
        <f>IFERROR(VLOOKUP(December[[#This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54" t="str">
        <f>IFERROR(VLOOKUP(December[[#This Row],[Drug Name7]],'Data Options'!$R$1:$S$100,2,FALSE), " ")</f>
        <v xml:space="preserve"> </v>
      </c>
      <c r="AZ84" s="32"/>
      <c r="BA84" s="32"/>
      <c r="BB84" s="53"/>
      <c r="BC84" s="54" t="str">
        <f>IFERROR(VLOOKUP(December[[#This Row],[Drug Name8]],'Data Options'!$R$1:$S$100,2,FALSE), " ")</f>
        <v xml:space="preserve"> </v>
      </c>
      <c r="BD84" s="32"/>
      <c r="BE84" s="32"/>
      <c r="BF84" s="53"/>
      <c r="BG84" s="54" t="str">
        <f>IFERROR(VLOOKUP(December[[#This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54" t="str">
        <f>IFERROR(VLOOKUP(December[[#This Row],[Drug Name]],'Data Options'!$R$1:$S$100,2,FALSE), " ")</f>
        <v xml:space="preserve"> </v>
      </c>
      <c r="R85" s="32"/>
      <c r="S85" s="32"/>
      <c r="T85" s="53"/>
      <c r="U85" s="54" t="str">
        <f>IFERROR(VLOOKUP(December[[#This Row],[Drug Name2]],'Data Options'!$R$1:$S$100,2,FALSE), " ")</f>
        <v xml:space="preserve"> </v>
      </c>
      <c r="V85" s="32"/>
      <c r="W85" s="32"/>
      <c r="X85" s="53"/>
      <c r="Y85" s="54" t="str">
        <f>IFERROR(VLOOKUP(December[[#This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54" t="str">
        <f>IFERROR(VLOOKUP(December[[#This Row],[Drug Name4]],'Data Options'!$R$1:$S$100,2,FALSE), " ")</f>
        <v xml:space="preserve"> </v>
      </c>
      <c r="AI85" s="32"/>
      <c r="AJ85" s="32"/>
      <c r="AK85" s="53"/>
      <c r="AL85" s="54" t="str">
        <f>IFERROR(VLOOKUP(December[[#This Row],[Drug Name5]],'Data Options'!$R$1:$S$100,2,FALSE), " ")</f>
        <v xml:space="preserve"> </v>
      </c>
      <c r="AM85" s="32"/>
      <c r="AN85" s="32"/>
      <c r="AO85" s="53"/>
      <c r="AP85" s="54" t="str">
        <f>IFERROR(VLOOKUP(December[[#This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54" t="str">
        <f>IFERROR(VLOOKUP(December[[#This Row],[Drug Name7]],'Data Options'!$R$1:$S$100,2,FALSE), " ")</f>
        <v xml:space="preserve"> </v>
      </c>
      <c r="AZ85" s="32"/>
      <c r="BA85" s="32"/>
      <c r="BB85" s="53"/>
      <c r="BC85" s="54" t="str">
        <f>IFERROR(VLOOKUP(December[[#This Row],[Drug Name8]],'Data Options'!$R$1:$S$100,2,FALSE), " ")</f>
        <v xml:space="preserve"> </v>
      </c>
      <c r="BD85" s="32"/>
      <c r="BE85" s="32"/>
      <c r="BF85" s="53"/>
      <c r="BG85" s="54" t="str">
        <f>IFERROR(VLOOKUP(December[[#This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54" t="str">
        <f>IFERROR(VLOOKUP(December[[#This Row],[Drug Name]],'Data Options'!$R$1:$S$100,2,FALSE), " ")</f>
        <v xml:space="preserve"> </v>
      </c>
      <c r="R86" s="32"/>
      <c r="S86" s="32"/>
      <c r="T86" s="53"/>
      <c r="U86" s="54" t="str">
        <f>IFERROR(VLOOKUP(December[[#This Row],[Drug Name2]],'Data Options'!$R$1:$S$100,2,FALSE), " ")</f>
        <v xml:space="preserve"> </v>
      </c>
      <c r="V86" s="32"/>
      <c r="W86" s="32"/>
      <c r="X86" s="53"/>
      <c r="Y86" s="54" t="str">
        <f>IFERROR(VLOOKUP(December[[#This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54" t="str">
        <f>IFERROR(VLOOKUP(December[[#This Row],[Drug Name4]],'Data Options'!$R$1:$S$100,2,FALSE), " ")</f>
        <v xml:space="preserve"> </v>
      </c>
      <c r="AI86" s="32"/>
      <c r="AJ86" s="32"/>
      <c r="AK86" s="53"/>
      <c r="AL86" s="54" t="str">
        <f>IFERROR(VLOOKUP(December[[#This Row],[Drug Name5]],'Data Options'!$R$1:$S$100,2,FALSE), " ")</f>
        <v xml:space="preserve"> </v>
      </c>
      <c r="AM86" s="32"/>
      <c r="AN86" s="32"/>
      <c r="AO86" s="53"/>
      <c r="AP86" s="54" t="str">
        <f>IFERROR(VLOOKUP(December[[#This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54" t="str">
        <f>IFERROR(VLOOKUP(December[[#This Row],[Drug Name7]],'Data Options'!$R$1:$S$100,2,FALSE), " ")</f>
        <v xml:space="preserve"> </v>
      </c>
      <c r="AZ86" s="32"/>
      <c r="BA86" s="32"/>
      <c r="BB86" s="53"/>
      <c r="BC86" s="54" t="str">
        <f>IFERROR(VLOOKUP(December[[#This Row],[Drug Name8]],'Data Options'!$R$1:$S$100,2,FALSE), " ")</f>
        <v xml:space="preserve"> </v>
      </c>
      <c r="BD86" s="32"/>
      <c r="BE86" s="32"/>
      <c r="BF86" s="53"/>
      <c r="BG86" s="54" t="str">
        <f>IFERROR(VLOOKUP(December[[#This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54" t="str">
        <f>IFERROR(VLOOKUP(December[[#This Row],[Drug Name]],'Data Options'!$R$1:$S$100,2,FALSE), " ")</f>
        <v xml:space="preserve"> </v>
      </c>
      <c r="R87" s="32"/>
      <c r="S87" s="32"/>
      <c r="T87" s="53"/>
      <c r="U87" s="54" t="str">
        <f>IFERROR(VLOOKUP(December[[#This Row],[Drug Name2]],'Data Options'!$R$1:$S$100,2,FALSE), " ")</f>
        <v xml:space="preserve"> </v>
      </c>
      <c r="V87" s="32"/>
      <c r="W87" s="32"/>
      <c r="X87" s="53"/>
      <c r="Y87" s="54" t="str">
        <f>IFERROR(VLOOKUP(December[[#This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54" t="str">
        <f>IFERROR(VLOOKUP(December[[#This Row],[Drug Name4]],'Data Options'!$R$1:$S$100,2,FALSE), " ")</f>
        <v xml:space="preserve"> </v>
      </c>
      <c r="AI87" s="32"/>
      <c r="AJ87" s="32"/>
      <c r="AK87" s="53"/>
      <c r="AL87" s="54" t="str">
        <f>IFERROR(VLOOKUP(December[[#This Row],[Drug Name5]],'Data Options'!$R$1:$S$100,2,FALSE), " ")</f>
        <v xml:space="preserve"> </v>
      </c>
      <c r="AM87" s="32"/>
      <c r="AN87" s="32"/>
      <c r="AO87" s="53"/>
      <c r="AP87" s="54" t="str">
        <f>IFERROR(VLOOKUP(December[[#This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54" t="str">
        <f>IFERROR(VLOOKUP(December[[#This Row],[Drug Name7]],'Data Options'!$R$1:$S$100,2,FALSE), " ")</f>
        <v xml:space="preserve"> </v>
      </c>
      <c r="AZ87" s="32"/>
      <c r="BA87" s="32"/>
      <c r="BB87" s="53"/>
      <c r="BC87" s="54" t="str">
        <f>IFERROR(VLOOKUP(December[[#This Row],[Drug Name8]],'Data Options'!$R$1:$S$100,2,FALSE), " ")</f>
        <v xml:space="preserve"> </v>
      </c>
      <c r="BD87" s="32"/>
      <c r="BE87" s="32"/>
      <c r="BF87" s="53"/>
      <c r="BG87" s="54" t="str">
        <f>IFERROR(VLOOKUP(December[[#This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54" t="str">
        <f>IFERROR(VLOOKUP(December[[#This Row],[Drug Name]],'Data Options'!$R$1:$S$100,2,FALSE), " ")</f>
        <v xml:space="preserve"> </v>
      </c>
      <c r="R88" s="32"/>
      <c r="S88" s="32"/>
      <c r="T88" s="53"/>
      <c r="U88" s="54" t="str">
        <f>IFERROR(VLOOKUP(December[[#This Row],[Drug Name2]],'Data Options'!$R$1:$S$100,2,FALSE), " ")</f>
        <v xml:space="preserve"> </v>
      </c>
      <c r="V88" s="32"/>
      <c r="W88" s="32"/>
      <c r="X88" s="53"/>
      <c r="Y88" s="54" t="str">
        <f>IFERROR(VLOOKUP(December[[#This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54" t="str">
        <f>IFERROR(VLOOKUP(December[[#This Row],[Drug Name4]],'Data Options'!$R$1:$S$100,2,FALSE), " ")</f>
        <v xml:space="preserve"> </v>
      </c>
      <c r="AI88" s="32"/>
      <c r="AJ88" s="32"/>
      <c r="AK88" s="53"/>
      <c r="AL88" s="54" t="str">
        <f>IFERROR(VLOOKUP(December[[#This Row],[Drug Name5]],'Data Options'!$R$1:$S$100,2,FALSE), " ")</f>
        <v xml:space="preserve"> </v>
      </c>
      <c r="AM88" s="32"/>
      <c r="AN88" s="32"/>
      <c r="AO88" s="53"/>
      <c r="AP88" s="54" t="str">
        <f>IFERROR(VLOOKUP(December[[#This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54" t="str">
        <f>IFERROR(VLOOKUP(December[[#This Row],[Drug Name7]],'Data Options'!$R$1:$S$100,2,FALSE), " ")</f>
        <v xml:space="preserve"> </v>
      </c>
      <c r="AZ88" s="32"/>
      <c r="BA88" s="32"/>
      <c r="BB88" s="53"/>
      <c r="BC88" s="54" t="str">
        <f>IFERROR(VLOOKUP(December[[#This Row],[Drug Name8]],'Data Options'!$R$1:$S$100,2,FALSE), " ")</f>
        <v xml:space="preserve"> </v>
      </c>
      <c r="BD88" s="32"/>
      <c r="BE88" s="32"/>
      <c r="BF88" s="53"/>
      <c r="BG88" s="54" t="str">
        <f>IFERROR(VLOOKUP(December[[#This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54" t="str">
        <f>IFERROR(VLOOKUP(December[[#This Row],[Drug Name]],'Data Options'!$R$1:$S$100,2,FALSE), " ")</f>
        <v xml:space="preserve"> </v>
      </c>
      <c r="R89" s="32"/>
      <c r="S89" s="32"/>
      <c r="T89" s="53"/>
      <c r="U89" s="54" t="str">
        <f>IFERROR(VLOOKUP(December[[#This Row],[Drug Name2]],'Data Options'!$R$1:$S$100,2,FALSE), " ")</f>
        <v xml:space="preserve"> </v>
      </c>
      <c r="V89" s="32"/>
      <c r="W89" s="32"/>
      <c r="X89" s="53"/>
      <c r="Y89" s="54" t="str">
        <f>IFERROR(VLOOKUP(December[[#This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54" t="str">
        <f>IFERROR(VLOOKUP(December[[#This Row],[Drug Name4]],'Data Options'!$R$1:$S$100,2,FALSE), " ")</f>
        <v xml:space="preserve"> </v>
      </c>
      <c r="AI89" s="32"/>
      <c r="AJ89" s="32"/>
      <c r="AK89" s="53"/>
      <c r="AL89" s="54" t="str">
        <f>IFERROR(VLOOKUP(December[[#This Row],[Drug Name5]],'Data Options'!$R$1:$S$100,2,FALSE), " ")</f>
        <v xml:space="preserve"> </v>
      </c>
      <c r="AM89" s="32"/>
      <c r="AN89" s="32"/>
      <c r="AO89" s="53"/>
      <c r="AP89" s="54" t="str">
        <f>IFERROR(VLOOKUP(December[[#This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54" t="str">
        <f>IFERROR(VLOOKUP(December[[#This Row],[Drug Name7]],'Data Options'!$R$1:$S$100,2,FALSE), " ")</f>
        <v xml:space="preserve"> </v>
      </c>
      <c r="AZ89" s="32"/>
      <c r="BA89" s="32"/>
      <c r="BB89" s="53"/>
      <c r="BC89" s="54" t="str">
        <f>IFERROR(VLOOKUP(December[[#This Row],[Drug Name8]],'Data Options'!$R$1:$S$100,2,FALSE), " ")</f>
        <v xml:space="preserve"> </v>
      </c>
      <c r="BD89" s="32"/>
      <c r="BE89" s="32"/>
      <c r="BF89" s="53"/>
      <c r="BG89" s="54" t="str">
        <f>IFERROR(VLOOKUP(December[[#This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54" t="str">
        <f>IFERROR(VLOOKUP(December[[#This Row],[Drug Name]],'Data Options'!$R$1:$S$100,2,FALSE), " ")</f>
        <v xml:space="preserve"> </v>
      </c>
      <c r="R90" s="32"/>
      <c r="S90" s="32"/>
      <c r="T90" s="53"/>
      <c r="U90" s="54" t="str">
        <f>IFERROR(VLOOKUP(December[[#This Row],[Drug Name2]],'Data Options'!$R$1:$S$100,2,FALSE), " ")</f>
        <v xml:space="preserve"> </v>
      </c>
      <c r="V90" s="32"/>
      <c r="W90" s="32"/>
      <c r="X90" s="53"/>
      <c r="Y90" s="54" t="str">
        <f>IFERROR(VLOOKUP(December[[#This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54" t="str">
        <f>IFERROR(VLOOKUP(December[[#This Row],[Drug Name4]],'Data Options'!$R$1:$S$100,2,FALSE), " ")</f>
        <v xml:space="preserve"> </v>
      </c>
      <c r="AI90" s="32"/>
      <c r="AJ90" s="32"/>
      <c r="AK90" s="53"/>
      <c r="AL90" s="54" t="str">
        <f>IFERROR(VLOOKUP(December[[#This Row],[Drug Name5]],'Data Options'!$R$1:$S$100,2,FALSE), " ")</f>
        <v xml:space="preserve"> </v>
      </c>
      <c r="AM90" s="32"/>
      <c r="AN90" s="32"/>
      <c r="AO90" s="53"/>
      <c r="AP90" s="54" t="str">
        <f>IFERROR(VLOOKUP(December[[#This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54" t="str">
        <f>IFERROR(VLOOKUP(December[[#This Row],[Drug Name7]],'Data Options'!$R$1:$S$100,2,FALSE), " ")</f>
        <v xml:space="preserve"> </v>
      </c>
      <c r="AZ90" s="32"/>
      <c r="BA90" s="32"/>
      <c r="BB90" s="53"/>
      <c r="BC90" s="54" t="str">
        <f>IFERROR(VLOOKUP(December[[#This Row],[Drug Name8]],'Data Options'!$R$1:$S$100,2,FALSE), " ")</f>
        <v xml:space="preserve"> </v>
      </c>
      <c r="BD90" s="32"/>
      <c r="BE90" s="32"/>
      <c r="BF90" s="53"/>
      <c r="BG90" s="54" t="str">
        <f>IFERROR(VLOOKUP(December[[#This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54" t="str">
        <f>IFERROR(VLOOKUP(December[[#This Row],[Drug Name]],'Data Options'!$R$1:$S$100,2,FALSE), " ")</f>
        <v xml:space="preserve"> </v>
      </c>
      <c r="R91" s="32"/>
      <c r="S91" s="32"/>
      <c r="T91" s="53"/>
      <c r="U91" s="54" t="str">
        <f>IFERROR(VLOOKUP(December[[#This Row],[Drug Name2]],'Data Options'!$R$1:$S$100,2,FALSE), " ")</f>
        <v xml:space="preserve"> </v>
      </c>
      <c r="V91" s="32"/>
      <c r="W91" s="32"/>
      <c r="X91" s="53"/>
      <c r="Y91" s="54" t="str">
        <f>IFERROR(VLOOKUP(December[[#This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54" t="str">
        <f>IFERROR(VLOOKUP(December[[#This Row],[Drug Name4]],'Data Options'!$R$1:$S$100,2,FALSE), " ")</f>
        <v xml:space="preserve"> </v>
      </c>
      <c r="AI91" s="32"/>
      <c r="AJ91" s="32"/>
      <c r="AK91" s="53"/>
      <c r="AL91" s="54" t="str">
        <f>IFERROR(VLOOKUP(December[[#This Row],[Drug Name5]],'Data Options'!$R$1:$S$100,2,FALSE), " ")</f>
        <v xml:space="preserve"> </v>
      </c>
      <c r="AM91" s="32"/>
      <c r="AN91" s="32"/>
      <c r="AO91" s="53"/>
      <c r="AP91" s="54" t="str">
        <f>IFERROR(VLOOKUP(December[[#This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54" t="str">
        <f>IFERROR(VLOOKUP(December[[#This Row],[Drug Name7]],'Data Options'!$R$1:$S$100,2,FALSE), " ")</f>
        <v xml:space="preserve"> </v>
      </c>
      <c r="AZ91" s="32"/>
      <c r="BA91" s="32"/>
      <c r="BB91" s="53"/>
      <c r="BC91" s="54" t="str">
        <f>IFERROR(VLOOKUP(December[[#This Row],[Drug Name8]],'Data Options'!$R$1:$S$100,2,FALSE), " ")</f>
        <v xml:space="preserve"> </v>
      </c>
      <c r="BD91" s="32"/>
      <c r="BE91" s="32"/>
      <c r="BF91" s="53"/>
      <c r="BG91" s="54" t="str">
        <f>IFERROR(VLOOKUP(December[[#This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54" t="str">
        <f>IFERROR(VLOOKUP(December[[#This Row],[Drug Name]],'Data Options'!$R$1:$S$100,2,FALSE), " ")</f>
        <v xml:space="preserve"> </v>
      </c>
      <c r="R92" s="32"/>
      <c r="S92" s="32"/>
      <c r="T92" s="53"/>
      <c r="U92" s="54" t="str">
        <f>IFERROR(VLOOKUP(December[[#This Row],[Drug Name2]],'Data Options'!$R$1:$S$100,2,FALSE), " ")</f>
        <v xml:space="preserve"> </v>
      </c>
      <c r="V92" s="32"/>
      <c r="W92" s="32"/>
      <c r="X92" s="53"/>
      <c r="Y92" s="54" t="str">
        <f>IFERROR(VLOOKUP(December[[#This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54" t="str">
        <f>IFERROR(VLOOKUP(December[[#This Row],[Drug Name4]],'Data Options'!$R$1:$S$100,2,FALSE), " ")</f>
        <v xml:space="preserve"> </v>
      </c>
      <c r="AI92" s="32"/>
      <c r="AJ92" s="32"/>
      <c r="AK92" s="53"/>
      <c r="AL92" s="54" t="str">
        <f>IFERROR(VLOOKUP(December[[#This Row],[Drug Name5]],'Data Options'!$R$1:$S$100,2,FALSE), " ")</f>
        <v xml:space="preserve"> </v>
      </c>
      <c r="AM92" s="32"/>
      <c r="AN92" s="32"/>
      <c r="AO92" s="53"/>
      <c r="AP92" s="54" t="str">
        <f>IFERROR(VLOOKUP(December[[#This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54" t="str">
        <f>IFERROR(VLOOKUP(December[[#This Row],[Drug Name7]],'Data Options'!$R$1:$S$100,2,FALSE), " ")</f>
        <v xml:space="preserve"> </v>
      </c>
      <c r="AZ92" s="32"/>
      <c r="BA92" s="32"/>
      <c r="BB92" s="53"/>
      <c r="BC92" s="54" t="str">
        <f>IFERROR(VLOOKUP(December[[#This Row],[Drug Name8]],'Data Options'!$R$1:$S$100,2,FALSE), " ")</f>
        <v xml:space="preserve"> </v>
      </c>
      <c r="BD92" s="32"/>
      <c r="BE92" s="32"/>
      <c r="BF92" s="53"/>
      <c r="BG92" s="54" t="str">
        <f>IFERROR(VLOOKUP(December[[#This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54" t="str">
        <f>IFERROR(VLOOKUP(December[[#This Row],[Drug Name]],'Data Options'!$R$1:$S$100,2,FALSE), " ")</f>
        <v xml:space="preserve"> </v>
      </c>
      <c r="R93" s="32"/>
      <c r="S93" s="32"/>
      <c r="T93" s="53"/>
      <c r="U93" s="54" t="str">
        <f>IFERROR(VLOOKUP(December[[#This Row],[Drug Name2]],'Data Options'!$R$1:$S$100,2,FALSE), " ")</f>
        <v xml:space="preserve"> </v>
      </c>
      <c r="V93" s="32"/>
      <c r="W93" s="32"/>
      <c r="X93" s="53"/>
      <c r="Y93" s="54" t="str">
        <f>IFERROR(VLOOKUP(December[[#This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54" t="str">
        <f>IFERROR(VLOOKUP(December[[#This Row],[Drug Name4]],'Data Options'!$R$1:$S$100,2,FALSE), " ")</f>
        <v xml:space="preserve"> </v>
      </c>
      <c r="AI93" s="32"/>
      <c r="AJ93" s="32"/>
      <c r="AK93" s="53"/>
      <c r="AL93" s="54" t="str">
        <f>IFERROR(VLOOKUP(December[[#This Row],[Drug Name5]],'Data Options'!$R$1:$S$100,2,FALSE), " ")</f>
        <v xml:space="preserve"> </v>
      </c>
      <c r="AM93" s="32"/>
      <c r="AN93" s="32"/>
      <c r="AO93" s="53"/>
      <c r="AP93" s="54" t="str">
        <f>IFERROR(VLOOKUP(December[[#This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54" t="str">
        <f>IFERROR(VLOOKUP(December[[#This Row],[Drug Name7]],'Data Options'!$R$1:$S$100,2,FALSE), " ")</f>
        <v xml:space="preserve"> </v>
      </c>
      <c r="AZ93" s="32"/>
      <c r="BA93" s="32"/>
      <c r="BB93" s="53"/>
      <c r="BC93" s="54" t="str">
        <f>IFERROR(VLOOKUP(December[[#This Row],[Drug Name8]],'Data Options'!$R$1:$S$100,2,FALSE), " ")</f>
        <v xml:space="preserve"> </v>
      </c>
      <c r="BD93" s="32"/>
      <c r="BE93" s="32"/>
      <c r="BF93" s="53"/>
      <c r="BG93" s="54" t="str">
        <f>IFERROR(VLOOKUP(December[[#This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54" t="str">
        <f>IFERROR(VLOOKUP(December[[#This Row],[Drug Name]],'Data Options'!$R$1:$S$100,2,FALSE), " ")</f>
        <v xml:space="preserve"> </v>
      </c>
      <c r="R94" s="32"/>
      <c r="S94" s="32"/>
      <c r="T94" s="53"/>
      <c r="U94" s="54" t="str">
        <f>IFERROR(VLOOKUP(December[[#This Row],[Drug Name2]],'Data Options'!$R$1:$S$100,2,FALSE), " ")</f>
        <v xml:space="preserve"> </v>
      </c>
      <c r="V94" s="32"/>
      <c r="W94" s="32"/>
      <c r="X94" s="53"/>
      <c r="Y94" s="54" t="str">
        <f>IFERROR(VLOOKUP(December[[#This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54" t="str">
        <f>IFERROR(VLOOKUP(December[[#This Row],[Drug Name4]],'Data Options'!$R$1:$S$100,2,FALSE), " ")</f>
        <v xml:space="preserve"> </v>
      </c>
      <c r="AI94" s="32"/>
      <c r="AJ94" s="32"/>
      <c r="AK94" s="53"/>
      <c r="AL94" s="54" t="str">
        <f>IFERROR(VLOOKUP(December[[#This Row],[Drug Name5]],'Data Options'!$R$1:$S$100,2,FALSE), " ")</f>
        <v xml:space="preserve"> </v>
      </c>
      <c r="AM94" s="32"/>
      <c r="AN94" s="32"/>
      <c r="AO94" s="53"/>
      <c r="AP94" s="54" t="str">
        <f>IFERROR(VLOOKUP(December[[#This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54" t="str">
        <f>IFERROR(VLOOKUP(December[[#This Row],[Drug Name7]],'Data Options'!$R$1:$S$100,2,FALSE), " ")</f>
        <v xml:space="preserve"> </v>
      </c>
      <c r="AZ94" s="32"/>
      <c r="BA94" s="32"/>
      <c r="BB94" s="53"/>
      <c r="BC94" s="54" t="str">
        <f>IFERROR(VLOOKUP(December[[#This Row],[Drug Name8]],'Data Options'!$R$1:$S$100,2,FALSE), " ")</f>
        <v xml:space="preserve"> </v>
      </c>
      <c r="BD94" s="32"/>
      <c r="BE94" s="32"/>
      <c r="BF94" s="53"/>
      <c r="BG94" s="54" t="str">
        <f>IFERROR(VLOOKUP(December[[#This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54" t="str">
        <f>IFERROR(VLOOKUP(December[[#This Row],[Drug Name]],'Data Options'!$R$1:$S$100,2,FALSE), " ")</f>
        <v xml:space="preserve"> </v>
      </c>
      <c r="R95" s="32"/>
      <c r="S95" s="32"/>
      <c r="T95" s="53"/>
      <c r="U95" s="54" t="str">
        <f>IFERROR(VLOOKUP(December[[#This Row],[Drug Name2]],'Data Options'!$R$1:$S$100,2,FALSE), " ")</f>
        <v xml:space="preserve"> </v>
      </c>
      <c r="V95" s="32"/>
      <c r="W95" s="32"/>
      <c r="X95" s="53"/>
      <c r="Y95" s="54" t="str">
        <f>IFERROR(VLOOKUP(December[[#This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54" t="str">
        <f>IFERROR(VLOOKUP(December[[#This Row],[Drug Name4]],'Data Options'!$R$1:$S$100,2,FALSE), " ")</f>
        <v xml:space="preserve"> </v>
      </c>
      <c r="AI95" s="32"/>
      <c r="AJ95" s="32"/>
      <c r="AK95" s="53"/>
      <c r="AL95" s="54" t="str">
        <f>IFERROR(VLOOKUP(December[[#This Row],[Drug Name5]],'Data Options'!$R$1:$S$100,2,FALSE), " ")</f>
        <v xml:space="preserve"> </v>
      </c>
      <c r="AM95" s="32"/>
      <c r="AN95" s="32"/>
      <c r="AO95" s="53"/>
      <c r="AP95" s="54" t="str">
        <f>IFERROR(VLOOKUP(December[[#This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54" t="str">
        <f>IFERROR(VLOOKUP(December[[#This Row],[Drug Name7]],'Data Options'!$R$1:$S$100,2,FALSE), " ")</f>
        <v xml:space="preserve"> </v>
      </c>
      <c r="AZ95" s="32"/>
      <c r="BA95" s="32"/>
      <c r="BB95" s="53"/>
      <c r="BC95" s="54" t="str">
        <f>IFERROR(VLOOKUP(December[[#This Row],[Drug Name8]],'Data Options'!$R$1:$S$100,2,FALSE), " ")</f>
        <v xml:space="preserve"> </v>
      </c>
      <c r="BD95" s="32"/>
      <c r="BE95" s="32"/>
      <c r="BF95" s="53"/>
      <c r="BG95" s="54" t="str">
        <f>IFERROR(VLOOKUP(December[[#This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54" t="str">
        <f>IFERROR(VLOOKUP(December[[#This Row],[Drug Name]],'Data Options'!$R$1:$S$100,2,FALSE), " ")</f>
        <v xml:space="preserve"> </v>
      </c>
      <c r="R96" s="32"/>
      <c r="S96" s="32"/>
      <c r="T96" s="53"/>
      <c r="U96" s="54" t="str">
        <f>IFERROR(VLOOKUP(December[[#This Row],[Drug Name2]],'Data Options'!$R$1:$S$100,2,FALSE), " ")</f>
        <v xml:space="preserve"> </v>
      </c>
      <c r="V96" s="32"/>
      <c r="W96" s="32"/>
      <c r="X96" s="53"/>
      <c r="Y96" s="54" t="str">
        <f>IFERROR(VLOOKUP(December[[#This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54" t="str">
        <f>IFERROR(VLOOKUP(December[[#This Row],[Drug Name4]],'Data Options'!$R$1:$S$100,2,FALSE), " ")</f>
        <v xml:space="preserve"> </v>
      </c>
      <c r="AI96" s="32"/>
      <c r="AJ96" s="32"/>
      <c r="AK96" s="53"/>
      <c r="AL96" s="54" t="str">
        <f>IFERROR(VLOOKUP(December[[#This Row],[Drug Name5]],'Data Options'!$R$1:$S$100,2,FALSE), " ")</f>
        <v xml:space="preserve"> </v>
      </c>
      <c r="AM96" s="32"/>
      <c r="AN96" s="32"/>
      <c r="AO96" s="53"/>
      <c r="AP96" s="54" t="str">
        <f>IFERROR(VLOOKUP(December[[#This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54" t="str">
        <f>IFERROR(VLOOKUP(December[[#This Row],[Drug Name7]],'Data Options'!$R$1:$S$100,2,FALSE), " ")</f>
        <v xml:space="preserve"> </v>
      </c>
      <c r="AZ96" s="32"/>
      <c r="BA96" s="32"/>
      <c r="BB96" s="53"/>
      <c r="BC96" s="54" t="str">
        <f>IFERROR(VLOOKUP(December[[#This Row],[Drug Name8]],'Data Options'!$R$1:$S$100,2,FALSE), " ")</f>
        <v xml:space="preserve"> </v>
      </c>
      <c r="BD96" s="32"/>
      <c r="BE96" s="32"/>
      <c r="BF96" s="53"/>
      <c r="BG96" s="54" t="str">
        <f>IFERROR(VLOOKUP(December[[#This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54" t="str">
        <f>IFERROR(VLOOKUP(December[[#This Row],[Drug Name]],'Data Options'!$R$1:$S$100,2,FALSE), " ")</f>
        <v xml:space="preserve"> </v>
      </c>
      <c r="R97" s="32"/>
      <c r="S97" s="32"/>
      <c r="T97" s="53"/>
      <c r="U97" s="54" t="str">
        <f>IFERROR(VLOOKUP(December[[#This Row],[Drug Name2]],'Data Options'!$R$1:$S$100,2,FALSE), " ")</f>
        <v xml:space="preserve"> </v>
      </c>
      <c r="V97" s="32"/>
      <c r="W97" s="32"/>
      <c r="X97" s="53"/>
      <c r="Y97" s="54" t="str">
        <f>IFERROR(VLOOKUP(December[[#This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54" t="str">
        <f>IFERROR(VLOOKUP(December[[#This Row],[Drug Name4]],'Data Options'!$R$1:$S$100,2,FALSE), " ")</f>
        <v xml:space="preserve"> </v>
      </c>
      <c r="AI97" s="32"/>
      <c r="AJ97" s="32"/>
      <c r="AK97" s="53"/>
      <c r="AL97" s="54" t="str">
        <f>IFERROR(VLOOKUP(December[[#This Row],[Drug Name5]],'Data Options'!$R$1:$S$100,2,FALSE), " ")</f>
        <v xml:space="preserve"> </v>
      </c>
      <c r="AM97" s="32"/>
      <c r="AN97" s="32"/>
      <c r="AO97" s="53"/>
      <c r="AP97" s="54" t="str">
        <f>IFERROR(VLOOKUP(December[[#This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54" t="str">
        <f>IFERROR(VLOOKUP(December[[#This Row],[Drug Name7]],'Data Options'!$R$1:$S$100,2,FALSE), " ")</f>
        <v xml:space="preserve"> </v>
      </c>
      <c r="AZ97" s="32"/>
      <c r="BA97" s="32"/>
      <c r="BB97" s="53"/>
      <c r="BC97" s="54" t="str">
        <f>IFERROR(VLOOKUP(December[[#This Row],[Drug Name8]],'Data Options'!$R$1:$S$100,2,FALSE), " ")</f>
        <v xml:space="preserve"> </v>
      </c>
      <c r="BD97" s="32"/>
      <c r="BE97" s="32"/>
      <c r="BF97" s="53"/>
      <c r="BG97" s="54" t="str">
        <f>IFERROR(VLOOKUP(December[[#This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54" t="str">
        <f>IFERROR(VLOOKUP(December[[#This Row],[Drug Name]],'Data Options'!$R$1:$S$100,2,FALSE), " ")</f>
        <v xml:space="preserve"> </v>
      </c>
      <c r="R98" s="32"/>
      <c r="S98" s="32"/>
      <c r="T98" s="53"/>
      <c r="U98" s="54" t="str">
        <f>IFERROR(VLOOKUP(December[[#This Row],[Drug Name2]],'Data Options'!$R$1:$S$100,2,FALSE), " ")</f>
        <v xml:space="preserve"> </v>
      </c>
      <c r="V98" s="32"/>
      <c r="W98" s="32"/>
      <c r="X98" s="53"/>
      <c r="Y98" s="54" t="str">
        <f>IFERROR(VLOOKUP(December[[#This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54" t="str">
        <f>IFERROR(VLOOKUP(December[[#This Row],[Drug Name4]],'Data Options'!$R$1:$S$100,2,FALSE), " ")</f>
        <v xml:space="preserve"> </v>
      </c>
      <c r="AI98" s="32"/>
      <c r="AJ98" s="32"/>
      <c r="AK98" s="53"/>
      <c r="AL98" s="54" t="str">
        <f>IFERROR(VLOOKUP(December[[#This Row],[Drug Name5]],'Data Options'!$R$1:$S$100,2,FALSE), " ")</f>
        <v xml:space="preserve"> </v>
      </c>
      <c r="AM98" s="32"/>
      <c r="AN98" s="32"/>
      <c r="AO98" s="53"/>
      <c r="AP98" s="54" t="str">
        <f>IFERROR(VLOOKUP(December[[#This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54" t="str">
        <f>IFERROR(VLOOKUP(December[[#This Row],[Drug Name7]],'Data Options'!$R$1:$S$100,2,FALSE), " ")</f>
        <v xml:space="preserve"> </v>
      </c>
      <c r="AZ98" s="32"/>
      <c r="BA98" s="32"/>
      <c r="BB98" s="53"/>
      <c r="BC98" s="54" t="str">
        <f>IFERROR(VLOOKUP(December[[#This Row],[Drug Name8]],'Data Options'!$R$1:$S$100,2,FALSE), " ")</f>
        <v xml:space="preserve"> </v>
      </c>
      <c r="BD98" s="32"/>
      <c r="BE98" s="32"/>
      <c r="BF98" s="53"/>
      <c r="BG98" s="54" t="str">
        <f>IFERROR(VLOOKUP(December[[#This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54" t="str">
        <f>IFERROR(VLOOKUP(December[[#This Row],[Drug Name]],'Data Options'!$R$1:$S$100,2,FALSE), " ")</f>
        <v xml:space="preserve"> </v>
      </c>
      <c r="R99" s="32"/>
      <c r="S99" s="32"/>
      <c r="T99" s="53"/>
      <c r="U99" s="54" t="str">
        <f>IFERROR(VLOOKUP(December[[#This Row],[Drug Name2]],'Data Options'!$R$1:$S$100,2,FALSE), " ")</f>
        <v xml:space="preserve"> </v>
      </c>
      <c r="V99" s="32"/>
      <c r="W99" s="32"/>
      <c r="X99" s="53"/>
      <c r="Y99" s="54" t="str">
        <f>IFERROR(VLOOKUP(December[[#This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54" t="str">
        <f>IFERROR(VLOOKUP(December[[#This Row],[Drug Name4]],'Data Options'!$R$1:$S$100,2,FALSE), " ")</f>
        <v xml:space="preserve"> </v>
      </c>
      <c r="AI99" s="32"/>
      <c r="AJ99" s="32"/>
      <c r="AK99" s="53"/>
      <c r="AL99" s="54" t="str">
        <f>IFERROR(VLOOKUP(December[[#This Row],[Drug Name5]],'Data Options'!$R$1:$S$100,2,FALSE), " ")</f>
        <v xml:space="preserve"> </v>
      </c>
      <c r="AM99" s="32"/>
      <c r="AN99" s="32"/>
      <c r="AO99" s="53"/>
      <c r="AP99" s="54" t="str">
        <f>IFERROR(VLOOKUP(December[[#This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54" t="str">
        <f>IFERROR(VLOOKUP(December[[#This Row],[Drug Name7]],'Data Options'!$R$1:$S$100,2,FALSE), " ")</f>
        <v xml:space="preserve"> </v>
      </c>
      <c r="AZ99" s="32"/>
      <c r="BA99" s="32"/>
      <c r="BB99" s="53"/>
      <c r="BC99" s="54" t="str">
        <f>IFERROR(VLOOKUP(December[[#This Row],[Drug Name8]],'Data Options'!$R$1:$S$100,2,FALSE), " ")</f>
        <v xml:space="preserve"> </v>
      </c>
      <c r="BD99" s="32"/>
      <c r="BE99" s="32"/>
      <c r="BF99" s="53"/>
      <c r="BG99" s="54" t="str">
        <f>IFERROR(VLOOKUP(December[[#This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54" t="str">
        <f>IFERROR(VLOOKUP(December[[#This Row],[Drug Name]],'Data Options'!$R$1:$S$100,2,FALSE), " ")</f>
        <v xml:space="preserve"> </v>
      </c>
      <c r="R100" s="32"/>
      <c r="S100" s="32"/>
      <c r="T100" s="53"/>
      <c r="U100" s="54" t="str">
        <f>IFERROR(VLOOKUP(December[[#This Row],[Drug Name2]],'Data Options'!$R$1:$S$100,2,FALSE), " ")</f>
        <v xml:space="preserve"> </v>
      </c>
      <c r="V100" s="32"/>
      <c r="W100" s="32"/>
      <c r="X100" s="53"/>
      <c r="Y100" s="54" t="str">
        <f>IFERROR(VLOOKUP(December[[#This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54" t="str">
        <f>IFERROR(VLOOKUP(December[[#This Row],[Drug Name4]],'Data Options'!$R$1:$S$100,2,FALSE), " ")</f>
        <v xml:space="preserve"> </v>
      </c>
      <c r="AI100" s="32"/>
      <c r="AJ100" s="32"/>
      <c r="AK100" s="53"/>
      <c r="AL100" s="54" t="str">
        <f>IFERROR(VLOOKUP(December[[#This Row],[Drug Name5]],'Data Options'!$R$1:$S$100,2,FALSE), " ")</f>
        <v xml:space="preserve"> </v>
      </c>
      <c r="AM100" s="32"/>
      <c r="AN100" s="32"/>
      <c r="AO100" s="53"/>
      <c r="AP100" s="54" t="str">
        <f>IFERROR(VLOOKUP(December[[#This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54" t="str">
        <f>IFERROR(VLOOKUP(December[[#This Row],[Drug Name7]],'Data Options'!$R$1:$S$100,2,FALSE), " ")</f>
        <v xml:space="preserve"> </v>
      </c>
      <c r="AZ100" s="32"/>
      <c r="BA100" s="32"/>
      <c r="BB100" s="53"/>
      <c r="BC100" s="54" t="str">
        <f>IFERROR(VLOOKUP(December[[#This Row],[Drug Name8]],'Data Options'!$R$1:$S$100,2,FALSE), " ")</f>
        <v xml:space="preserve"> </v>
      </c>
      <c r="BD100" s="32"/>
      <c r="BE100" s="32"/>
      <c r="BF100" s="53"/>
      <c r="BG100" s="54" t="str">
        <f>IFERROR(VLOOKUP(December[[#This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54" t="str">
        <f>IFERROR(VLOOKUP(December[[#This Row],[Drug Name]],'Data Options'!$R$1:$S$100,2,FALSE), " ")</f>
        <v xml:space="preserve"> </v>
      </c>
      <c r="R101" s="32"/>
      <c r="S101" s="32"/>
      <c r="T101" s="53"/>
      <c r="U101" s="54" t="str">
        <f>IFERROR(VLOOKUP(December[[#This Row],[Drug Name2]],'Data Options'!$R$1:$S$100,2,FALSE), " ")</f>
        <v xml:space="preserve"> </v>
      </c>
      <c r="V101" s="32"/>
      <c r="W101" s="32"/>
      <c r="X101" s="53"/>
      <c r="Y101" s="54" t="str">
        <f>IFERROR(VLOOKUP(December[[#This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54" t="str">
        <f>IFERROR(VLOOKUP(December[[#This Row],[Drug Name4]],'Data Options'!$R$1:$S$100,2,FALSE), " ")</f>
        <v xml:space="preserve"> </v>
      </c>
      <c r="AI101" s="32"/>
      <c r="AJ101" s="32"/>
      <c r="AK101" s="53"/>
      <c r="AL101" s="54" t="str">
        <f>IFERROR(VLOOKUP(December[[#This Row],[Drug Name5]],'Data Options'!$R$1:$S$100,2,FALSE), " ")</f>
        <v xml:space="preserve"> </v>
      </c>
      <c r="AM101" s="32"/>
      <c r="AN101" s="32"/>
      <c r="AO101" s="53"/>
      <c r="AP101" s="54" t="str">
        <f>IFERROR(VLOOKUP(December[[#This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54" t="str">
        <f>IFERROR(VLOOKUP(December[[#This Row],[Drug Name7]],'Data Options'!$R$1:$S$100,2,FALSE), " ")</f>
        <v xml:space="preserve"> </v>
      </c>
      <c r="AZ101" s="32"/>
      <c r="BA101" s="32"/>
      <c r="BB101" s="53"/>
      <c r="BC101" s="54" t="str">
        <f>IFERROR(VLOOKUP(December[[#This Row],[Drug Name8]],'Data Options'!$R$1:$S$100,2,FALSE), " ")</f>
        <v xml:space="preserve"> </v>
      </c>
      <c r="BD101" s="32"/>
      <c r="BE101" s="32"/>
      <c r="BF101" s="53"/>
      <c r="BG101" s="54" t="str">
        <f>IFERROR(VLOOKUP(December[[#This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54" t="str">
        <f>IFERROR(VLOOKUP(December[[#This Row],[Drug Name]],'Data Options'!$R$1:$S$100,2,FALSE), " ")</f>
        <v xml:space="preserve"> </v>
      </c>
      <c r="R102" s="32"/>
      <c r="S102" s="32"/>
      <c r="T102" s="53"/>
      <c r="U102" s="54" t="str">
        <f>IFERROR(VLOOKUP(December[[#This Row],[Drug Name2]],'Data Options'!$R$1:$S$100,2,FALSE), " ")</f>
        <v xml:space="preserve"> </v>
      </c>
      <c r="V102" s="32"/>
      <c r="W102" s="32"/>
      <c r="X102" s="53"/>
      <c r="Y102" s="54" t="str">
        <f>IFERROR(VLOOKUP(December[[#This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54" t="str">
        <f>IFERROR(VLOOKUP(December[[#This Row],[Drug Name4]],'Data Options'!$R$1:$S$100,2,FALSE), " ")</f>
        <v xml:space="preserve"> </v>
      </c>
      <c r="AI102" s="32"/>
      <c r="AJ102" s="32"/>
      <c r="AK102" s="53"/>
      <c r="AL102" s="54" t="str">
        <f>IFERROR(VLOOKUP(December[[#This Row],[Drug Name5]],'Data Options'!$R$1:$S$100,2,FALSE), " ")</f>
        <v xml:space="preserve"> </v>
      </c>
      <c r="AM102" s="32"/>
      <c r="AN102" s="32"/>
      <c r="AO102" s="53"/>
      <c r="AP102" s="54" t="str">
        <f>IFERROR(VLOOKUP(December[[#This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54" t="str">
        <f>IFERROR(VLOOKUP(December[[#This Row],[Drug Name7]],'Data Options'!$R$1:$S$100,2,FALSE), " ")</f>
        <v xml:space="preserve"> </v>
      </c>
      <c r="AZ102" s="32"/>
      <c r="BA102" s="32"/>
      <c r="BB102" s="53"/>
      <c r="BC102" s="54" t="str">
        <f>IFERROR(VLOOKUP(December[[#This Row],[Drug Name8]],'Data Options'!$R$1:$S$100,2,FALSE), " ")</f>
        <v xml:space="preserve"> </v>
      </c>
      <c r="BD102" s="32"/>
      <c r="BE102" s="32"/>
      <c r="BF102" s="53"/>
      <c r="BG102" s="54" t="str">
        <f>IFERROR(VLOOKUP(December[[#This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54" t="str">
        <f>IFERROR(VLOOKUP(December[[#This Row],[Drug Name]],'Data Options'!$R$1:$S$100,2,FALSE), " ")</f>
        <v xml:space="preserve"> </v>
      </c>
      <c r="R103" s="32"/>
      <c r="S103" s="32"/>
      <c r="T103" s="53"/>
      <c r="U103" s="54" t="str">
        <f>IFERROR(VLOOKUP(December[[#This Row],[Drug Name2]],'Data Options'!$R$1:$S$100,2,FALSE), " ")</f>
        <v xml:space="preserve"> </v>
      </c>
      <c r="V103" s="32"/>
      <c r="W103" s="32"/>
      <c r="X103" s="53"/>
      <c r="Y103" s="54" t="str">
        <f>IFERROR(VLOOKUP(December[[#This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54" t="str">
        <f>IFERROR(VLOOKUP(December[[#This Row],[Drug Name4]],'Data Options'!$R$1:$S$100,2,FALSE), " ")</f>
        <v xml:space="preserve"> </v>
      </c>
      <c r="AI103" s="32"/>
      <c r="AJ103" s="32"/>
      <c r="AK103" s="53"/>
      <c r="AL103" s="54" t="str">
        <f>IFERROR(VLOOKUP(December[[#This Row],[Drug Name5]],'Data Options'!$R$1:$S$100,2,FALSE), " ")</f>
        <v xml:space="preserve"> </v>
      </c>
      <c r="AM103" s="32"/>
      <c r="AN103" s="32"/>
      <c r="AO103" s="53"/>
      <c r="AP103" s="54" t="str">
        <f>IFERROR(VLOOKUP(December[[#This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54" t="str">
        <f>IFERROR(VLOOKUP(December[[#This Row],[Drug Name7]],'Data Options'!$R$1:$S$100,2,FALSE), " ")</f>
        <v xml:space="preserve"> </v>
      </c>
      <c r="AZ103" s="32"/>
      <c r="BA103" s="32"/>
      <c r="BB103" s="53"/>
      <c r="BC103" s="54" t="str">
        <f>IFERROR(VLOOKUP(December[[#This Row],[Drug Name8]],'Data Options'!$R$1:$S$100,2,FALSE), " ")</f>
        <v xml:space="preserve"> </v>
      </c>
      <c r="BD103" s="32"/>
      <c r="BE103" s="32"/>
      <c r="BF103" s="53"/>
      <c r="BG103" s="54" t="str">
        <f>IFERROR(VLOOKUP(December[[#This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54" t="str">
        <f>IFERROR(VLOOKUP(December[[#This Row],[Drug Name]],'Data Options'!$R$1:$S$100,2,FALSE), " ")</f>
        <v xml:space="preserve"> </v>
      </c>
      <c r="R104" s="32"/>
      <c r="S104" s="32"/>
      <c r="T104" s="53"/>
      <c r="U104" s="54" t="str">
        <f>IFERROR(VLOOKUP(December[[#This Row],[Drug Name2]],'Data Options'!$R$1:$S$100,2,FALSE), " ")</f>
        <v xml:space="preserve"> </v>
      </c>
      <c r="V104" s="32"/>
      <c r="W104" s="32"/>
      <c r="X104" s="53"/>
      <c r="Y104" s="54" t="str">
        <f>IFERROR(VLOOKUP(December[[#This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54" t="str">
        <f>IFERROR(VLOOKUP(December[[#This Row],[Drug Name4]],'Data Options'!$R$1:$S$100,2,FALSE), " ")</f>
        <v xml:space="preserve"> </v>
      </c>
      <c r="AI104" s="32"/>
      <c r="AJ104" s="32"/>
      <c r="AK104" s="53"/>
      <c r="AL104" s="54" t="str">
        <f>IFERROR(VLOOKUP(December[[#This Row],[Drug Name5]],'Data Options'!$R$1:$S$100,2,FALSE), " ")</f>
        <v xml:space="preserve"> </v>
      </c>
      <c r="AM104" s="32"/>
      <c r="AN104" s="32"/>
      <c r="AO104" s="53"/>
      <c r="AP104" s="54" t="str">
        <f>IFERROR(VLOOKUP(December[[#This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54" t="str">
        <f>IFERROR(VLOOKUP(December[[#This Row],[Drug Name7]],'Data Options'!$R$1:$S$100,2,FALSE), " ")</f>
        <v xml:space="preserve"> </v>
      </c>
      <c r="AZ104" s="32"/>
      <c r="BA104" s="32"/>
      <c r="BB104" s="53"/>
      <c r="BC104" s="54" t="str">
        <f>IFERROR(VLOOKUP(December[[#This Row],[Drug Name8]],'Data Options'!$R$1:$S$100,2,FALSE), " ")</f>
        <v xml:space="preserve"> </v>
      </c>
      <c r="BD104" s="32"/>
      <c r="BE104" s="32"/>
      <c r="BF104" s="53"/>
      <c r="BG104" s="54" t="str">
        <f>IFERROR(VLOOKUP(December[[#This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54" t="str">
        <f>IFERROR(VLOOKUP(December[[#This Row],[Drug Name]],'Data Options'!$R$1:$S$100,2,FALSE), " ")</f>
        <v xml:space="preserve"> </v>
      </c>
      <c r="R105" s="32"/>
      <c r="S105" s="32"/>
      <c r="T105" s="53"/>
      <c r="U105" s="54" t="str">
        <f>IFERROR(VLOOKUP(December[[#This Row],[Drug Name2]],'Data Options'!$R$1:$S$100,2,FALSE), " ")</f>
        <v xml:space="preserve"> </v>
      </c>
      <c r="V105" s="32"/>
      <c r="W105" s="32"/>
      <c r="X105" s="53"/>
      <c r="Y105" s="54" t="str">
        <f>IFERROR(VLOOKUP(December[[#This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54" t="str">
        <f>IFERROR(VLOOKUP(December[[#This Row],[Drug Name4]],'Data Options'!$R$1:$S$100,2,FALSE), " ")</f>
        <v xml:space="preserve"> </v>
      </c>
      <c r="AI105" s="32"/>
      <c r="AJ105" s="32"/>
      <c r="AK105" s="53"/>
      <c r="AL105" s="54" t="str">
        <f>IFERROR(VLOOKUP(December[[#This Row],[Drug Name5]],'Data Options'!$R$1:$S$100,2,FALSE), " ")</f>
        <v xml:space="preserve"> </v>
      </c>
      <c r="AM105" s="32"/>
      <c r="AN105" s="32"/>
      <c r="AO105" s="53"/>
      <c r="AP105" s="54" t="str">
        <f>IFERROR(VLOOKUP(December[[#This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54" t="str">
        <f>IFERROR(VLOOKUP(December[[#This Row],[Drug Name7]],'Data Options'!$R$1:$S$100,2,FALSE), " ")</f>
        <v xml:space="preserve"> </v>
      </c>
      <c r="AZ105" s="32"/>
      <c r="BA105" s="32"/>
      <c r="BB105" s="53"/>
      <c r="BC105" s="54" t="str">
        <f>IFERROR(VLOOKUP(December[[#This Row],[Drug Name8]],'Data Options'!$R$1:$S$100,2,FALSE), " ")</f>
        <v xml:space="preserve"> </v>
      </c>
      <c r="BD105" s="32"/>
      <c r="BE105" s="32"/>
      <c r="BF105" s="53"/>
      <c r="BG105" s="54" t="str">
        <f>IFERROR(VLOOKUP(December[[#This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54" t="str">
        <f>IFERROR(VLOOKUP(December[[#This Row],[Drug Name]],'Data Options'!$R$1:$S$100,2,FALSE), " ")</f>
        <v xml:space="preserve"> </v>
      </c>
      <c r="R106" s="32"/>
      <c r="S106" s="32"/>
      <c r="T106" s="53"/>
      <c r="U106" s="54" t="str">
        <f>IFERROR(VLOOKUP(December[[#This Row],[Drug Name2]],'Data Options'!$R$1:$S$100,2,FALSE), " ")</f>
        <v xml:space="preserve"> </v>
      </c>
      <c r="V106" s="32"/>
      <c r="W106" s="32"/>
      <c r="X106" s="53"/>
      <c r="Y106" s="54" t="str">
        <f>IFERROR(VLOOKUP(December[[#This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54" t="str">
        <f>IFERROR(VLOOKUP(December[[#This Row],[Drug Name4]],'Data Options'!$R$1:$S$100,2,FALSE), " ")</f>
        <v xml:space="preserve"> </v>
      </c>
      <c r="AI106" s="32"/>
      <c r="AJ106" s="32"/>
      <c r="AK106" s="53"/>
      <c r="AL106" s="54" t="str">
        <f>IFERROR(VLOOKUP(December[[#This Row],[Drug Name5]],'Data Options'!$R$1:$S$100,2,FALSE), " ")</f>
        <v xml:space="preserve"> </v>
      </c>
      <c r="AM106" s="32"/>
      <c r="AN106" s="32"/>
      <c r="AO106" s="53"/>
      <c r="AP106" s="54" t="str">
        <f>IFERROR(VLOOKUP(December[[#This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54" t="str">
        <f>IFERROR(VLOOKUP(December[[#This Row],[Drug Name7]],'Data Options'!$R$1:$S$100,2,FALSE), " ")</f>
        <v xml:space="preserve"> </v>
      </c>
      <c r="AZ106" s="32"/>
      <c r="BA106" s="32"/>
      <c r="BB106" s="53"/>
      <c r="BC106" s="54" t="str">
        <f>IFERROR(VLOOKUP(December[[#This Row],[Drug Name8]],'Data Options'!$R$1:$S$100,2,FALSE), " ")</f>
        <v xml:space="preserve"> </v>
      </c>
      <c r="BD106" s="32"/>
      <c r="BE106" s="32"/>
      <c r="BF106" s="53"/>
      <c r="BG106" s="54" t="str">
        <f>IFERROR(VLOOKUP(December[[#This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54" t="str">
        <f>IFERROR(VLOOKUP(December[[#This Row],[Drug Name]],'Data Options'!$R$1:$S$100,2,FALSE), " ")</f>
        <v xml:space="preserve"> </v>
      </c>
      <c r="R107" s="32"/>
      <c r="S107" s="32"/>
      <c r="T107" s="53"/>
      <c r="U107" s="54" t="str">
        <f>IFERROR(VLOOKUP(December[[#This Row],[Drug Name2]],'Data Options'!$R$1:$S$100,2,FALSE), " ")</f>
        <v xml:space="preserve"> </v>
      </c>
      <c r="V107" s="32"/>
      <c r="W107" s="32"/>
      <c r="X107" s="53"/>
      <c r="Y107" s="54" t="str">
        <f>IFERROR(VLOOKUP(December[[#This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54" t="str">
        <f>IFERROR(VLOOKUP(December[[#This Row],[Drug Name4]],'Data Options'!$R$1:$S$100,2,FALSE), " ")</f>
        <v xml:space="preserve"> </v>
      </c>
      <c r="AI107" s="32"/>
      <c r="AJ107" s="32"/>
      <c r="AK107" s="53"/>
      <c r="AL107" s="54" t="str">
        <f>IFERROR(VLOOKUP(December[[#This Row],[Drug Name5]],'Data Options'!$R$1:$S$100,2,FALSE), " ")</f>
        <v xml:space="preserve"> </v>
      </c>
      <c r="AM107" s="32"/>
      <c r="AN107" s="32"/>
      <c r="AO107" s="53"/>
      <c r="AP107" s="54" t="str">
        <f>IFERROR(VLOOKUP(December[[#This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54" t="str">
        <f>IFERROR(VLOOKUP(December[[#This Row],[Drug Name7]],'Data Options'!$R$1:$S$100,2,FALSE), " ")</f>
        <v xml:space="preserve"> </v>
      </c>
      <c r="AZ107" s="32"/>
      <c r="BA107" s="32"/>
      <c r="BB107" s="53"/>
      <c r="BC107" s="54" t="str">
        <f>IFERROR(VLOOKUP(December[[#This Row],[Drug Name8]],'Data Options'!$R$1:$S$100,2,FALSE), " ")</f>
        <v xml:space="preserve"> </v>
      </c>
      <c r="BD107" s="32"/>
      <c r="BE107" s="32"/>
      <c r="BF107" s="53"/>
      <c r="BG107" s="54" t="str">
        <f>IFERROR(VLOOKUP(December[[#This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54" t="str">
        <f>IFERROR(VLOOKUP(December[[#This Row],[Drug Name]],'Data Options'!$R$1:$S$100,2,FALSE), " ")</f>
        <v xml:space="preserve"> </v>
      </c>
      <c r="R108" s="32"/>
      <c r="S108" s="32"/>
      <c r="T108" s="53"/>
      <c r="U108" s="54" t="str">
        <f>IFERROR(VLOOKUP(December[[#This Row],[Drug Name2]],'Data Options'!$R$1:$S$100,2,FALSE), " ")</f>
        <v xml:space="preserve"> </v>
      </c>
      <c r="V108" s="32"/>
      <c r="W108" s="32"/>
      <c r="X108" s="53"/>
      <c r="Y108" s="54" t="str">
        <f>IFERROR(VLOOKUP(December[[#This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54" t="str">
        <f>IFERROR(VLOOKUP(December[[#This Row],[Drug Name4]],'Data Options'!$R$1:$S$100,2,FALSE), " ")</f>
        <v xml:space="preserve"> </v>
      </c>
      <c r="AI108" s="32"/>
      <c r="AJ108" s="32"/>
      <c r="AK108" s="53"/>
      <c r="AL108" s="54" t="str">
        <f>IFERROR(VLOOKUP(December[[#This Row],[Drug Name5]],'Data Options'!$R$1:$S$100,2,FALSE), " ")</f>
        <v xml:space="preserve"> </v>
      </c>
      <c r="AM108" s="32"/>
      <c r="AN108" s="32"/>
      <c r="AO108" s="53"/>
      <c r="AP108" s="54" t="str">
        <f>IFERROR(VLOOKUP(December[[#This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54" t="str">
        <f>IFERROR(VLOOKUP(December[[#This Row],[Drug Name7]],'Data Options'!$R$1:$S$100,2,FALSE), " ")</f>
        <v xml:space="preserve"> </v>
      </c>
      <c r="AZ108" s="32"/>
      <c r="BA108" s="32"/>
      <c r="BB108" s="53"/>
      <c r="BC108" s="54" t="str">
        <f>IFERROR(VLOOKUP(December[[#This Row],[Drug Name8]],'Data Options'!$R$1:$S$100,2,FALSE), " ")</f>
        <v xml:space="preserve"> </v>
      </c>
      <c r="BD108" s="32"/>
      <c r="BE108" s="32"/>
      <c r="BF108" s="53"/>
      <c r="BG108" s="54" t="str">
        <f>IFERROR(VLOOKUP(December[[#This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54" t="str">
        <f>IFERROR(VLOOKUP(December[[#This Row],[Drug Name]],'Data Options'!$R$1:$S$100,2,FALSE), " ")</f>
        <v xml:space="preserve"> </v>
      </c>
      <c r="R109" s="32"/>
      <c r="S109" s="32"/>
      <c r="T109" s="53"/>
      <c r="U109" s="54" t="str">
        <f>IFERROR(VLOOKUP(December[[#This Row],[Drug Name2]],'Data Options'!$R$1:$S$100,2,FALSE), " ")</f>
        <v xml:space="preserve"> </v>
      </c>
      <c r="V109" s="32"/>
      <c r="W109" s="32"/>
      <c r="X109" s="53"/>
      <c r="Y109" s="54" t="str">
        <f>IFERROR(VLOOKUP(December[[#This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54" t="str">
        <f>IFERROR(VLOOKUP(December[[#This Row],[Drug Name4]],'Data Options'!$R$1:$S$100,2,FALSE), " ")</f>
        <v xml:space="preserve"> </v>
      </c>
      <c r="AI109" s="32"/>
      <c r="AJ109" s="32"/>
      <c r="AK109" s="53"/>
      <c r="AL109" s="54" t="str">
        <f>IFERROR(VLOOKUP(December[[#This Row],[Drug Name5]],'Data Options'!$R$1:$S$100,2,FALSE), " ")</f>
        <v xml:space="preserve"> </v>
      </c>
      <c r="AM109" s="32"/>
      <c r="AN109" s="32"/>
      <c r="AO109" s="53"/>
      <c r="AP109" s="54" t="str">
        <f>IFERROR(VLOOKUP(December[[#This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54" t="str">
        <f>IFERROR(VLOOKUP(December[[#This Row],[Drug Name7]],'Data Options'!$R$1:$S$100,2,FALSE), " ")</f>
        <v xml:space="preserve"> </v>
      </c>
      <c r="AZ109" s="32"/>
      <c r="BA109" s="32"/>
      <c r="BB109" s="53"/>
      <c r="BC109" s="54" t="str">
        <f>IFERROR(VLOOKUP(December[[#This Row],[Drug Name8]],'Data Options'!$R$1:$S$100,2,FALSE), " ")</f>
        <v xml:space="preserve"> </v>
      </c>
      <c r="BD109" s="32"/>
      <c r="BE109" s="32"/>
      <c r="BF109" s="53"/>
      <c r="BG109" s="54" t="str">
        <f>IFERROR(VLOOKUP(December[[#This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54" t="str">
        <f>IFERROR(VLOOKUP(December[[#This Row],[Drug Name]],'Data Options'!$R$1:$S$100,2,FALSE), " ")</f>
        <v xml:space="preserve"> </v>
      </c>
      <c r="R110" s="32"/>
      <c r="S110" s="32"/>
      <c r="T110" s="53"/>
      <c r="U110" s="54" t="str">
        <f>IFERROR(VLOOKUP(December[[#This Row],[Drug Name2]],'Data Options'!$R$1:$S$100,2,FALSE), " ")</f>
        <v xml:space="preserve"> </v>
      </c>
      <c r="V110" s="32"/>
      <c r="W110" s="32"/>
      <c r="X110" s="53"/>
      <c r="Y110" s="54" t="str">
        <f>IFERROR(VLOOKUP(December[[#This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54" t="str">
        <f>IFERROR(VLOOKUP(December[[#This Row],[Drug Name4]],'Data Options'!$R$1:$S$100,2,FALSE), " ")</f>
        <v xml:space="preserve"> </v>
      </c>
      <c r="AI110" s="32"/>
      <c r="AJ110" s="32"/>
      <c r="AK110" s="53"/>
      <c r="AL110" s="54" t="str">
        <f>IFERROR(VLOOKUP(December[[#This Row],[Drug Name5]],'Data Options'!$R$1:$S$100,2,FALSE), " ")</f>
        <v xml:space="preserve"> </v>
      </c>
      <c r="AM110" s="32"/>
      <c r="AN110" s="32"/>
      <c r="AO110" s="53"/>
      <c r="AP110" s="54" t="str">
        <f>IFERROR(VLOOKUP(December[[#This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54" t="str">
        <f>IFERROR(VLOOKUP(December[[#This Row],[Drug Name7]],'Data Options'!$R$1:$S$100,2,FALSE), " ")</f>
        <v xml:space="preserve"> </v>
      </c>
      <c r="AZ110" s="32"/>
      <c r="BA110" s="32"/>
      <c r="BB110" s="53"/>
      <c r="BC110" s="54" t="str">
        <f>IFERROR(VLOOKUP(December[[#This Row],[Drug Name8]],'Data Options'!$R$1:$S$100,2,FALSE), " ")</f>
        <v xml:space="preserve"> </v>
      </c>
      <c r="BD110" s="32"/>
      <c r="BE110" s="32"/>
      <c r="BF110" s="53"/>
      <c r="BG110" s="54" t="str">
        <f>IFERROR(VLOOKUP(December[[#This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54" t="str">
        <f>IFERROR(VLOOKUP(December[[#This Row],[Drug Name]],'Data Options'!$R$1:$S$100,2,FALSE), " ")</f>
        <v xml:space="preserve"> </v>
      </c>
      <c r="R111" s="32"/>
      <c r="S111" s="32"/>
      <c r="T111" s="53"/>
      <c r="U111" s="54" t="str">
        <f>IFERROR(VLOOKUP(December[[#This Row],[Drug Name2]],'Data Options'!$R$1:$S$100,2,FALSE), " ")</f>
        <v xml:space="preserve"> </v>
      </c>
      <c r="V111" s="32"/>
      <c r="W111" s="32"/>
      <c r="X111" s="53"/>
      <c r="Y111" s="54" t="str">
        <f>IFERROR(VLOOKUP(December[[#This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54" t="str">
        <f>IFERROR(VLOOKUP(December[[#This Row],[Drug Name4]],'Data Options'!$R$1:$S$100,2,FALSE), " ")</f>
        <v xml:space="preserve"> </v>
      </c>
      <c r="AI111" s="32"/>
      <c r="AJ111" s="32"/>
      <c r="AK111" s="53"/>
      <c r="AL111" s="54" t="str">
        <f>IFERROR(VLOOKUP(December[[#This Row],[Drug Name5]],'Data Options'!$R$1:$S$100,2,FALSE), " ")</f>
        <v xml:space="preserve"> </v>
      </c>
      <c r="AM111" s="32"/>
      <c r="AN111" s="32"/>
      <c r="AO111" s="53"/>
      <c r="AP111" s="54" t="str">
        <f>IFERROR(VLOOKUP(December[[#This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54" t="str">
        <f>IFERROR(VLOOKUP(December[[#This Row],[Drug Name7]],'Data Options'!$R$1:$S$100,2,FALSE), " ")</f>
        <v xml:space="preserve"> </v>
      </c>
      <c r="AZ111" s="32"/>
      <c r="BA111" s="32"/>
      <c r="BB111" s="53"/>
      <c r="BC111" s="54" t="str">
        <f>IFERROR(VLOOKUP(December[[#This Row],[Drug Name8]],'Data Options'!$R$1:$S$100,2,FALSE), " ")</f>
        <v xml:space="preserve"> </v>
      </c>
      <c r="BD111" s="32"/>
      <c r="BE111" s="32"/>
      <c r="BF111" s="53"/>
      <c r="BG111" s="54" t="str">
        <f>IFERROR(VLOOKUP(December[[#This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54" t="str">
        <f>IFERROR(VLOOKUP(December[[#This Row],[Drug Name]],'Data Options'!$R$1:$S$100,2,FALSE), " ")</f>
        <v xml:space="preserve"> </v>
      </c>
      <c r="R112" s="32"/>
      <c r="S112" s="32"/>
      <c r="T112" s="53"/>
      <c r="U112" s="54" t="str">
        <f>IFERROR(VLOOKUP(December[[#This Row],[Drug Name2]],'Data Options'!$R$1:$S$100,2,FALSE), " ")</f>
        <v xml:space="preserve"> </v>
      </c>
      <c r="V112" s="32"/>
      <c r="W112" s="32"/>
      <c r="X112" s="53"/>
      <c r="Y112" s="54" t="str">
        <f>IFERROR(VLOOKUP(December[[#This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54" t="str">
        <f>IFERROR(VLOOKUP(December[[#This Row],[Drug Name4]],'Data Options'!$R$1:$S$100,2,FALSE), " ")</f>
        <v xml:space="preserve"> </v>
      </c>
      <c r="AI112" s="32"/>
      <c r="AJ112" s="32"/>
      <c r="AK112" s="53"/>
      <c r="AL112" s="54" t="str">
        <f>IFERROR(VLOOKUP(December[[#This Row],[Drug Name5]],'Data Options'!$R$1:$S$100,2,FALSE), " ")</f>
        <v xml:space="preserve"> </v>
      </c>
      <c r="AM112" s="32"/>
      <c r="AN112" s="32"/>
      <c r="AO112" s="53"/>
      <c r="AP112" s="54" t="str">
        <f>IFERROR(VLOOKUP(December[[#This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54" t="str">
        <f>IFERROR(VLOOKUP(December[[#This Row],[Drug Name7]],'Data Options'!$R$1:$S$100,2,FALSE), " ")</f>
        <v xml:space="preserve"> </v>
      </c>
      <c r="AZ112" s="32"/>
      <c r="BA112" s="32"/>
      <c r="BB112" s="53"/>
      <c r="BC112" s="54" t="str">
        <f>IFERROR(VLOOKUP(December[[#This Row],[Drug Name8]],'Data Options'!$R$1:$S$100,2,FALSE), " ")</f>
        <v xml:space="preserve"> </v>
      </c>
      <c r="BD112" s="32"/>
      <c r="BE112" s="32"/>
      <c r="BF112" s="53"/>
      <c r="BG112" s="54" t="str">
        <f>IFERROR(VLOOKUP(December[[#This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54" t="str">
        <f>IFERROR(VLOOKUP(December[[#This Row],[Drug Name]],'Data Options'!$R$1:$S$100,2,FALSE), " ")</f>
        <v xml:space="preserve"> </v>
      </c>
      <c r="R113" s="32"/>
      <c r="S113" s="32"/>
      <c r="T113" s="53"/>
      <c r="U113" s="54" t="str">
        <f>IFERROR(VLOOKUP(December[[#This Row],[Drug Name2]],'Data Options'!$R$1:$S$100,2,FALSE), " ")</f>
        <v xml:space="preserve"> </v>
      </c>
      <c r="V113" s="32"/>
      <c r="W113" s="32"/>
      <c r="X113" s="53"/>
      <c r="Y113" s="54" t="str">
        <f>IFERROR(VLOOKUP(December[[#This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54" t="str">
        <f>IFERROR(VLOOKUP(December[[#This Row],[Drug Name4]],'Data Options'!$R$1:$S$100,2,FALSE), " ")</f>
        <v xml:space="preserve"> </v>
      </c>
      <c r="AI113" s="32"/>
      <c r="AJ113" s="32"/>
      <c r="AK113" s="53"/>
      <c r="AL113" s="54" t="str">
        <f>IFERROR(VLOOKUP(December[[#This Row],[Drug Name5]],'Data Options'!$R$1:$S$100,2,FALSE), " ")</f>
        <v xml:space="preserve"> </v>
      </c>
      <c r="AM113" s="32"/>
      <c r="AN113" s="32"/>
      <c r="AO113" s="53"/>
      <c r="AP113" s="54" t="str">
        <f>IFERROR(VLOOKUP(December[[#This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54" t="str">
        <f>IFERROR(VLOOKUP(December[[#This Row],[Drug Name7]],'Data Options'!$R$1:$S$100,2,FALSE), " ")</f>
        <v xml:space="preserve"> </v>
      </c>
      <c r="AZ113" s="32"/>
      <c r="BA113" s="32"/>
      <c r="BB113" s="53"/>
      <c r="BC113" s="54" t="str">
        <f>IFERROR(VLOOKUP(December[[#This Row],[Drug Name8]],'Data Options'!$R$1:$S$100,2,FALSE), " ")</f>
        <v xml:space="preserve"> </v>
      </c>
      <c r="BD113" s="32"/>
      <c r="BE113" s="32"/>
      <c r="BF113" s="53"/>
      <c r="BG113" s="54" t="str">
        <f>IFERROR(VLOOKUP(December[[#This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54" t="str">
        <f>IFERROR(VLOOKUP(December[[#This Row],[Drug Name]],'Data Options'!$R$1:$S$100,2,FALSE), " ")</f>
        <v xml:space="preserve"> </v>
      </c>
      <c r="R114" s="32"/>
      <c r="S114" s="32"/>
      <c r="T114" s="53"/>
      <c r="U114" s="54" t="str">
        <f>IFERROR(VLOOKUP(December[[#This Row],[Drug Name2]],'Data Options'!$R$1:$S$100,2,FALSE), " ")</f>
        <v xml:space="preserve"> </v>
      </c>
      <c r="V114" s="32"/>
      <c r="W114" s="32"/>
      <c r="X114" s="53"/>
      <c r="Y114" s="54" t="str">
        <f>IFERROR(VLOOKUP(December[[#This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54" t="str">
        <f>IFERROR(VLOOKUP(December[[#This Row],[Drug Name4]],'Data Options'!$R$1:$S$100,2,FALSE), " ")</f>
        <v xml:space="preserve"> </v>
      </c>
      <c r="AI114" s="32"/>
      <c r="AJ114" s="32"/>
      <c r="AK114" s="53"/>
      <c r="AL114" s="54" t="str">
        <f>IFERROR(VLOOKUP(December[[#This Row],[Drug Name5]],'Data Options'!$R$1:$S$100,2,FALSE), " ")</f>
        <v xml:space="preserve"> </v>
      </c>
      <c r="AM114" s="32"/>
      <c r="AN114" s="32"/>
      <c r="AO114" s="53"/>
      <c r="AP114" s="54" t="str">
        <f>IFERROR(VLOOKUP(December[[#This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54" t="str">
        <f>IFERROR(VLOOKUP(December[[#This Row],[Drug Name7]],'Data Options'!$R$1:$S$100,2,FALSE), " ")</f>
        <v xml:space="preserve"> </v>
      </c>
      <c r="AZ114" s="32"/>
      <c r="BA114" s="32"/>
      <c r="BB114" s="53"/>
      <c r="BC114" s="54" t="str">
        <f>IFERROR(VLOOKUP(December[[#This Row],[Drug Name8]],'Data Options'!$R$1:$S$100,2,FALSE), " ")</f>
        <v xml:space="preserve"> </v>
      </c>
      <c r="BD114" s="32"/>
      <c r="BE114" s="32"/>
      <c r="BF114" s="53"/>
      <c r="BG114" s="54" t="str">
        <f>IFERROR(VLOOKUP(December[[#This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54" t="str">
        <f>IFERROR(VLOOKUP(December[[#This Row],[Drug Name]],'Data Options'!$R$1:$S$100,2,FALSE), " ")</f>
        <v xml:space="preserve"> </v>
      </c>
      <c r="R115" s="32"/>
      <c r="S115" s="32"/>
      <c r="T115" s="53"/>
      <c r="U115" s="54" t="str">
        <f>IFERROR(VLOOKUP(December[[#This Row],[Drug Name2]],'Data Options'!$R$1:$S$100,2,FALSE), " ")</f>
        <v xml:space="preserve"> </v>
      </c>
      <c r="V115" s="32"/>
      <c r="W115" s="32"/>
      <c r="X115" s="53"/>
      <c r="Y115" s="54" t="str">
        <f>IFERROR(VLOOKUP(December[[#This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54" t="str">
        <f>IFERROR(VLOOKUP(December[[#This Row],[Drug Name4]],'Data Options'!$R$1:$S$100,2,FALSE), " ")</f>
        <v xml:space="preserve"> </v>
      </c>
      <c r="AI115" s="32"/>
      <c r="AJ115" s="32"/>
      <c r="AK115" s="53"/>
      <c r="AL115" s="54" t="str">
        <f>IFERROR(VLOOKUP(December[[#This Row],[Drug Name5]],'Data Options'!$R$1:$S$100,2,FALSE), " ")</f>
        <v xml:space="preserve"> </v>
      </c>
      <c r="AM115" s="32"/>
      <c r="AN115" s="32"/>
      <c r="AO115" s="53"/>
      <c r="AP115" s="54" t="str">
        <f>IFERROR(VLOOKUP(December[[#This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54" t="str">
        <f>IFERROR(VLOOKUP(December[[#This Row],[Drug Name7]],'Data Options'!$R$1:$S$100,2,FALSE), " ")</f>
        <v xml:space="preserve"> </v>
      </c>
      <c r="AZ115" s="32"/>
      <c r="BA115" s="32"/>
      <c r="BB115" s="53"/>
      <c r="BC115" s="54" t="str">
        <f>IFERROR(VLOOKUP(December[[#This Row],[Drug Name8]],'Data Options'!$R$1:$S$100,2,FALSE), " ")</f>
        <v xml:space="preserve"> </v>
      </c>
      <c r="BD115" s="32"/>
      <c r="BE115" s="32"/>
      <c r="BF115" s="53"/>
      <c r="BG115" s="54" t="str">
        <f>IFERROR(VLOOKUP(December[[#This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54" t="str">
        <f>IFERROR(VLOOKUP(December[[#This Row],[Drug Name]],'Data Options'!$R$1:$S$100,2,FALSE), " ")</f>
        <v xml:space="preserve"> </v>
      </c>
      <c r="R116" s="32"/>
      <c r="S116" s="32"/>
      <c r="T116" s="53"/>
      <c r="U116" s="54" t="str">
        <f>IFERROR(VLOOKUP(December[[#This Row],[Drug Name2]],'Data Options'!$R$1:$S$100,2,FALSE), " ")</f>
        <v xml:space="preserve"> </v>
      </c>
      <c r="V116" s="32"/>
      <c r="W116" s="32"/>
      <c r="X116" s="53"/>
      <c r="Y116" s="54" t="str">
        <f>IFERROR(VLOOKUP(December[[#This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54" t="str">
        <f>IFERROR(VLOOKUP(December[[#This Row],[Drug Name4]],'Data Options'!$R$1:$S$100,2,FALSE), " ")</f>
        <v xml:space="preserve"> </v>
      </c>
      <c r="AI116" s="32"/>
      <c r="AJ116" s="32"/>
      <c r="AK116" s="53"/>
      <c r="AL116" s="54" t="str">
        <f>IFERROR(VLOOKUP(December[[#This Row],[Drug Name5]],'Data Options'!$R$1:$S$100,2,FALSE), " ")</f>
        <v xml:space="preserve"> </v>
      </c>
      <c r="AM116" s="32"/>
      <c r="AN116" s="32"/>
      <c r="AO116" s="53"/>
      <c r="AP116" s="54" t="str">
        <f>IFERROR(VLOOKUP(December[[#This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54" t="str">
        <f>IFERROR(VLOOKUP(December[[#This Row],[Drug Name7]],'Data Options'!$R$1:$S$100,2,FALSE), " ")</f>
        <v xml:space="preserve"> </v>
      </c>
      <c r="AZ116" s="32"/>
      <c r="BA116" s="32"/>
      <c r="BB116" s="53"/>
      <c r="BC116" s="54" t="str">
        <f>IFERROR(VLOOKUP(December[[#This Row],[Drug Name8]],'Data Options'!$R$1:$S$100,2,FALSE), " ")</f>
        <v xml:space="preserve"> </v>
      </c>
      <c r="BD116" s="32"/>
      <c r="BE116" s="32"/>
      <c r="BF116" s="53"/>
      <c r="BG116" s="54" t="str">
        <f>IFERROR(VLOOKUP(December[[#This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54" t="str">
        <f>IFERROR(VLOOKUP(December[[#This Row],[Drug Name]],'Data Options'!$R$1:$S$100,2,FALSE), " ")</f>
        <v xml:space="preserve"> </v>
      </c>
      <c r="R117" s="32"/>
      <c r="S117" s="32"/>
      <c r="T117" s="53"/>
      <c r="U117" s="54" t="str">
        <f>IFERROR(VLOOKUP(December[[#This Row],[Drug Name2]],'Data Options'!$R$1:$S$100,2,FALSE), " ")</f>
        <v xml:space="preserve"> </v>
      </c>
      <c r="V117" s="32"/>
      <c r="W117" s="32"/>
      <c r="X117" s="53"/>
      <c r="Y117" s="54" t="str">
        <f>IFERROR(VLOOKUP(December[[#This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54" t="str">
        <f>IFERROR(VLOOKUP(December[[#This Row],[Drug Name4]],'Data Options'!$R$1:$S$100,2,FALSE), " ")</f>
        <v xml:space="preserve"> </v>
      </c>
      <c r="AI117" s="32"/>
      <c r="AJ117" s="32"/>
      <c r="AK117" s="53"/>
      <c r="AL117" s="54" t="str">
        <f>IFERROR(VLOOKUP(December[[#This Row],[Drug Name5]],'Data Options'!$R$1:$S$100,2,FALSE), " ")</f>
        <v xml:space="preserve"> </v>
      </c>
      <c r="AM117" s="32"/>
      <c r="AN117" s="32"/>
      <c r="AO117" s="53"/>
      <c r="AP117" s="54" t="str">
        <f>IFERROR(VLOOKUP(December[[#This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54" t="str">
        <f>IFERROR(VLOOKUP(December[[#This Row],[Drug Name7]],'Data Options'!$R$1:$S$100,2,FALSE), " ")</f>
        <v xml:space="preserve"> </v>
      </c>
      <c r="AZ117" s="32"/>
      <c r="BA117" s="32"/>
      <c r="BB117" s="53"/>
      <c r="BC117" s="54" t="str">
        <f>IFERROR(VLOOKUP(December[[#This Row],[Drug Name8]],'Data Options'!$R$1:$S$100,2,FALSE), " ")</f>
        <v xml:space="preserve"> </v>
      </c>
      <c r="BD117" s="32"/>
      <c r="BE117" s="32"/>
      <c r="BF117" s="53"/>
      <c r="BG117" s="54" t="str">
        <f>IFERROR(VLOOKUP(December[[#This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54" t="str">
        <f>IFERROR(VLOOKUP(December[[#This Row],[Drug Name]],'Data Options'!$R$1:$S$100,2,FALSE), " ")</f>
        <v xml:space="preserve"> </v>
      </c>
      <c r="R118" s="32"/>
      <c r="S118" s="32"/>
      <c r="T118" s="53"/>
      <c r="U118" s="54" t="str">
        <f>IFERROR(VLOOKUP(December[[#This Row],[Drug Name2]],'Data Options'!$R$1:$S$100,2,FALSE), " ")</f>
        <v xml:space="preserve"> </v>
      </c>
      <c r="V118" s="32"/>
      <c r="W118" s="32"/>
      <c r="X118" s="53"/>
      <c r="Y118" s="54" t="str">
        <f>IFERROR(VLOOKUP(December[[#This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54" t="str">
        <f>IFERROR(VLOOKUP(December[[#This Row],[Drug Name4]],'Data Options'!$R$1:$S$100,2,FALSE), " ")</f>
        <v xml:space="preserve"> </v>
      </c>
      <c r="AI118" s="32"/>
      <c r="AJ118" s="32"/>
      <c r="AK118" s="53"/>
      <c r="AL118" s="54" t="str">
        <f>IFERROR(VLOOKUP(December[[#This Row],[Drug Name5]],'Data Options'!$R$1:$S$100,2,FALSE), " ")</f>
        <v xml:space="preserve"> </v>
      </c>
      <c r="AM118" s="32"/>
      <c r="AN118" s="32"/>
      <c r="AO118" s="53"/>
      <c r="AP118" s="54" t="str">
        <f>IFERROR(VLOOKUP(December[[#This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54" t="str">
        <f>IFERROR(VLOOKUP(December[[#This Row],[Drug Name7]],'Data Options'!$R$1:$S$100,2,FALSE), " ")</f>
        <v xml:space="preserve"> </v>
      </c>
      <c r="AZ118" s="32"/>
      <c r="BA118" s="32"/>
      <c r="BB118" s="53"/>
      <c r="BC118" s="54" t="str">
        <f>IFERROR(VLOOKUP(December[[#This Row],[Drug Name8]],'Data Options'!$R$1:$S$100,2,FALSE), " ")</f>
        <v xml:space="preserve"> </v>
      </c>
      <c r="BD118" s="32"/>
      <c r="BE118" s="32"/>
      <c r="BF118" s="53"/>
      <c r="BG118" s="54" t="str">
        <f>IFERROR(VLOOKUP(December[[#This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54" t="str">
        <f>IFERROR(VLOOKUP(December[[#This Row],[Drug Name]],'Data Options'!$R$1:$S$100,2,FALSE), " ")</f>
        <v xml:space="preserve"> </v>
      </c>
      <c r="R119" s="32"/>
      <c r="S119" s="32"/>
      <c r="T119" s="53"/>
      <c r="U119" s="54" t="str">
        <f>IFERROR(VLOOKUP(December[[#This Row],[Drug Name2]],'Data Options'!$R$1:$S$100,2,FALSE), " ")</f>
        <v xml:space="preserve"> </v>
      </c>
      <c r="V119" s="32"/>
      <c r="W119" s="32"/>
      <c r="X119" s="53"/>
      <c r="Y119" s="54" t="str">
        <f>IFERROR(VLOOKUP(December[[#This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54" t="str">
        <f>IFERROR(VLOOKUP(December[[#This Row],[Drug Name4]],'Data Options'!$R$1:$S$100,2,FALSE), " ")</f>
        <v xml:space="preserve"> </v>
      </c>
      <c r="AI119" s="32"/>
      <c r="AJ119" s="32"/>
      <c r="AK119" s="53"/>
      <c r="AL119" s="54" t="str">
        <f>IFERROR(VLOOKUP(December[[#This Row],[Drug Name5]],'Data Options'!$R$1:$S$100,2,FALSE), " ")</f>
        <v xml:space="preserve"> </v>
      </c>
      <c r="AM119" s="32"/>
      <c r="AN119" s="32"/>
      <c r="AO119" s="53"/>
      <c r="AP119" s="54" t="str">
        <f>IFERROR(VLOOKUP(December[[#This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54" t="str">
        <f>IFERROR(VLOOKUP(December[[#This Row],[Drug Name7]],'Data Options'!$R$1:$S$100,2,FALSE), " ")</f>
        <v xml:space="preserve"> </v>
      </c>
      <c r="AZ119" s="32"/>
      <c r="BA119" s="32"/>
      <c r="BB119" s="53"/>
      <c r="BC119" s="54" t="str">
        <f>IFERROR(VLOOKUP(December[[#This Row],[Drug Name8]],'Data Options'!$R$1:$S$100,2,FALSE), " ")</f>
        <v xml:space="preserve"> </v>
      </c>
      <c r="BD119" s="32"/>
      <c r="BE119" s="32"/>
      <c r="BF119" s="53"/>
      <c r="BG119" s="54" t="str">
        <f>IFERROR(VLOOKUP(December[[#This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54" t="str">
        <f>IFERROR(VLOOKUP(December[[#This Row],[Drug Name]],'Data Options'!$R$1:$S$100,2,FALSE), " ")</f>
        <v xml:space="preserve"> </v>
      </c>
      <c r="R120" s="32"/>
      <c r="S120" s="32"/>
      <c r="T120" s="53"/>
      <c r="U120" s="54" t="str">
        <f>IFERROR(VLOOKUP(December[[#This Row],[Drug Name2]],'Data Options'!$R$1:$S$100,2,FALSE), " ")</f>
        <v xml:space="preserve"> </v>
      </c>
      <c r="V120" s="32"/>
      <c r="W120" s="32"/>
      <c r="X120" s="53"/>
      <c r="Y120" s="54" t="str">
        <f>IFERROR(VLOOKUP(December[[#This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54" t="str">
        <f>IFERROR(VLOOKUP(December[[#This Row],[Drug Name4]],'Data Options'!$R$1:$S$100,2,FALSE), " ")</f>
        <v xml:space="preserve"> </v>
      </c>
      <c r="AI120" s="32"/>
      <c r="AJ120" s="32"/>
      <c r="AK120" s="53"/>
      <c r="AL120" s="54" t="str">
        <f>IFERROR(VLOOKUP(December[[#This Row],[Drug Name5]],'Data Options'!$R$1:$S$100,2,FALSE), " ")</f>
        <v xml:space="preserve"> </v>
      </c>
      <c r="AM120" s="32"/>
      <c r="AN120" s="32"/>
      <c r="AO120" s="53"/>
      <c r="AP120" s="54" t="str">
        <f>IFERROR(VLOOKUP(December[[#This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54" t="str">
        <f>IFERROR(VLOOKUP(December[[#This Row],[Drug Name7]],'Data Options'!$R$1:$S$100,2,FALSE), " ")</f>
        <v xml:space="preserve"> </v>
      </c>
      <c r="AZ120" s="32"/>
      <c r="BA120" s="32"/>
      <c r="BB120" s="53"/>
      <c r="BC120" s="54" t="str">
        <f>IFERROR(VLOOKUP(December[[#This Row],[Drug Name8]],'Data Options'!$R$1:$S$100,2,FALSE), " ")</f>
        <v xml:space="preserve"> </v>
      </c>
      <c r="BD120" s="32"/>
      <c r="BE120" s="32"/>
      <c r="BF120" s="53"/>
      <c r="BG120" s="54" t="str">
        <f>IFERROR(VLOOKUP(December[[#This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54" t="str">
        <f>IFERROR(VLOOKUP(December[[#This Row],[Drug Name]],'Data Options'!$R$1:$S$100,2,FALSE), " ")</f>
        <v xml:space="preserve"> </v>
      </c>
      <c r="R121" s="32"/>
      <c r="S121" s="32"/>
      <c r="T121" s="53"/>
      <c r="U121" s="54" t="str">
        <f>IFERROR(VLOOKUP(December[[#This Row],[Drug Name2]],'Data Options'!$R$1:$S$100,2,FALSE), " ")</f>
        <v xml:space="preserve"> </v>
      </c>
      <c r="V121" s="32"/>
      <c r="W121" s="32"/>
      <c r="X121" s="53"/>
      <c r="Y121" s="54" t="str">
        <f>IFERROR(VLOOKUP(December[[#This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54" t="str">
        <f>IFERROR(VLOOKUP(December[[#This Row],[Drug Name4]],'Data Options'!$R$1:$S$100,2,FALSE), " ")</f>
        <v xml:space="preserve"> </v>
      </c>
      <c r="AI121" s="32"/>
      <c r="AJ121" s="32"/>
      <c r="AK121" s="53"/>
      <c r="AL121" s="54" t="str">
        <f>IFERROR(VLOOKUP(December[[#This Row],[Drug Name5]],'Data Options'!$R$1:$S$100,2,FALSE), " ")</f>
        <v xml:space="preserve"> </v>
      </c>
      <c r="AM121" s="32"/>
      <c r="AN121" s="32"/>
      <c r="AO121" s="53"/>
      <c r="AP121" s="54" t="str">
        <f>IFERROR(VLOOKUP(December[[#This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54" t="str">
        <f>IFERROR(VLOOKUP(December[[#This Row],[Drug Name7]],'Data Options'!$R$1:$S$100,2,FALSE), " ")</f>
        <v xml:space="preserve"> </v>
      </c>
      <c r="AZ121" s="32"/>
      <c r="BA121" s="32"/>
      <c r="BB121" s="53"/>
      <c r="BC121" s="54" t="str">
        <f>IFERROR(VLOOKUP(December[[#This Row],[Drug Name8]],'Data Options'!$R$1:$S$100,2,FALSE), " ")</f>
        <v xml:space="preserve"> </v>
      </c>
      <c r="BD121" s="32"/>
      <c r="BE121" s="32"/>
      <c r="BF121" s="53"/>
      <c r="BG121" s="54" t="str">
        <f>IFERROR(VLOOKUP(December[[#This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54" t="str">
        <f>IFERROR(VLOOKUP(December[[#This Row],[Drug Name]],'Data Options'!$R$1:$S$100,2,FALSE), " ")</f>
        <v xml:space="preserve"> </v>
      </c>
      <c r="R122" s="32"/>
      <c r="S122" s="32"/>
      <c r="T122" s="53"/>
      <c r="U122" s="54" t="str">
        <f>IFERROR(VLOOKUP(December[[#This Row],[Drug Name2]],'Data Options'!$R$1:$S$100,2,FALSE), " ")</f>
        <v xml:space="preserve"> </v>
      </c>
      <c r="V122" s="32"/>
      <c r="W122" s="32"/>
      <c r="X122" s="53"/>
      <c r="Y122" s="54" t="str">
        <f>IFERROR(VLOOKUP(December[[#This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54" t="str">
        <f>IFERROR(VLOOKUP(December[[#This Row],[Drug Name4]],'Data Options'!$R$1:$S$100,2,FALSE), " ")</f>
        <v xml:space="preserve"> </v>
      </c>
      <c r="AI122" s="32"/>
      <c r="AJ122" s="32"/>
      <c r="AK122" s="53"/>
      <c r="AL122" s="54" t="str">
        <f>IFERROR(VLOOKUP(December[[#This Row],[Drug Name5]],'Data Options'!$R$1:$S$100,2,FALSE), " ")</f>
        <v xml:space="preserve"> </v>
      </c>
      <c r="AM122" s="32"/>
      <c r="AN122" s="32"/>
      <c r="AO122" s="53"/>
      <c r="AP122" s="54" t="str">
        <f>IFERROR(VLOOKUP(December[[#This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54" t="str">
        <f>IFERROR(VLOOKUP(December[[#This Row],[Drug Name7]],'Data Options'!$R$1:$S$100,2,FALSE), " ")</f>
        <v xml:space="preserve"> </v>
      </c>
      <c r="AZ122" s="32"/>
      <c r="BA122" s="32"/>
      <c r="BB122" s="53"/>
      <c r="BC122" s="54" t="str">
        <f>IFERROR(VLOOKUP(December[[#This Row],[Drug Name8]],'Data Options'!$R$1:$S$100,2,FALSE), " ")</f>
        <v xml:space="preserve"> </v>
      </c>
      <c r="BD122" s="32"/>
      <c r="BE122" s="32"/>
      <c r="BF122" s="53"/>
      <c r="BG122" s="54" t="str">
        <f>IFERROR(VLOOKUP(December[[#This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54" t="str">
        <f>IFERROR(VLOOKUP(December[[#This Row],[Drug Name]],'Data Options'!$R$1:$S$100,2,FALSE), " ")</f>
        <v xml:space="preserve"> </v>
      </c>
      <c r="R123" s="32"/>
      <c r="S123" s="32"/>
      <c r="T123" s="53"/>
      <c r="U123" s="54" t="str">
        <f>IFERROR(VLOOKUP(December[[#This Row],[Drug Name2]],'Data Options'!$R$1:$S$100,2,FALSE), " ")</f>
        <v xml:space="preserve"> </v>
      </c>
      <c r="V123" s="32"/>
      <c r="W123" s="32"/>
      <c r="X123" s="53"/>
      <c r="Y123" s="54" t="str">
        <f>IFERROR(VLOOKUP(December[[#This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54" t="str">
        <f>IFERROR(VLOOKUP(December[[#This Row],[Drug Name4]],'Data Options'!$R$1:$S$100,2,FALSE), " ")</f>
        <v xml:space="preserve"> </v>
      </c>
      <c r="AI123" s="32"/>
      <c r="AJ123" s="32"/>
      <c r="AK123" s="53"/>
      <c r="AL123" s="54" t="str">
        <f>IFERROR(VLOOKUP(December[[#This Row],[Drug Name5]],'Data Options'!$R$1:$S$100,2,FALSE), " ")</f>
        <v xml:space="preserve"> </v>
      </c>
      <c r="AM123" s="32"/>
      <c r="AN123" s="32"/>
      <c r="AO123" s="53"/>
      <c r="AP123" s="54" t="str">
        <f>IFERROR(VLOOKUP(December[[#This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54" t="str">
        <f>IFERROR(VLOOKUP(December[[#This Row],[Drug Name7]],'Data Options'!$R$1:$S$100,2,FALSE), " ")</f>
        <v xml:space="preserve"> </v>
      </c>
      <c r="AZ123" s="32"/>
      <c r="BA123" s="32"/>
      <c r="BB123" s="53"/>
      <c r="BC123" s="54" t="str">
        <f>IFERROR(VLOOKUP(December[[#This Row],[Drug Name8]],'Data Options'!$R$1:$S$100,2,FALSE), " ")</f>
        <v xml:space="preserve"> </v>
      </c>
      <c r="BD123" s="32"/>
      <c r="BE123" s="32"/>
      <c r="BF123" s="53"/>
      <c r="BG123" s="54" t="str">
        <f>IFERROR(VLOOKUP(December[[#This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54" t="str">
        <f>IFERROR(VLOOKUP(December[[#This Row],[Drug Name]],'Data Options'!$R$1:$S$100,2,FALSE), " ")</f>
        <v xml:space="preserve"> </v>
      </c>
      <c r="R124" s="32"/>
      <c r="S124" s="32"/>
      <c r="T124" s="53"/>
      <c r="U124" s="54" t="str">
        <f>IFERROR(VLOOKUP(December[[#This Row],[Drug Name2]],'Data Options'!$R$1:$S$100,2,FALSE), " ")</f>
        <v xml:space="preserve"> </v>
      </c>
      <c r="V124" s="32"/>
      <c r="W124" s="32"/>
      <c r="X124" s="53"/>
      <c r="Y124" s="54" t="str">
        <f>IFERROR(VLOOKUP(December[[#This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54" t="str">
        <f>IFERROR(VLOOKUP(December[[#This Row],[Drug Name4]],'Data Options'!$R$1:$S$100,2,FALSE), " ")</f>
        <v xml:space="preserve"> </v>
      </c>
      <c r="AI124" s="32"/>
      <c r="AJ124" s="32"/>
      <c r="AK124" s="53"/>
      <c r="AL124" s="54" t="str">
        <f>IFERROR(VLOOKUP(December[[#This Row],[Drug Name5]],'Data Options'!$R$1:$S$100,2,FALSE), " ")</f>
        <v xml:space="preserve"> </v>
      </c>
      <c r="AM124" s="32"/>
      <c r="AN124" s="32"/>
      <c r="AO124" s="53"/>
      <c r="AP124" s="54" t="str">
        <f>IFERROR(VLOOKUP(December[[#This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54" t="str">
        <f>IFERROR(VLOOKUP(December[[#This Row],[Drug Name7]],'Data Options'!$R$1:$S$100,2,FALSE), " ")</f>
        <v xml:space="preserve"> </v>
      </c>
      <c r="AZ124" s="32"/>
      <c r="BA124" s="32"/>
      <c r="BB124" s="53"/>
      <c r="BC124" s="54" t="str">
        <f>IFERROR(VLOOKUP(December[[#This Row],[Drug Name8]],'Data Options'!$R$1:$S$100,2,FALSE), " ")</f>
        <v xml:space="preserve"> </v>
      </c>
      <c r="BD124" s="32"/>
      <c r="BE124" s="32"/>
      <c r="BF124" s="53"/>
      <c r="BG124" s="54" t="str">
        <f>IFERROR(VLOOKUP(December[[#This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54" t="str">
        <f>IFERROR(VLOOKUP(December[[#This Row],[Drug Name]],'Data Options'!$R$1:$S$100,2,FALSE), " ")</f>
        <v xml:space="preserve"> </v>
      </c>
      <c r="R125" s="32"/>
      <c r="S125" s="32"/>
      <c r="T125" s="53"/>
      <c r="U125" s="54" t="str">
        <f>IFERROR(VLOOKUP(December[[#This Row],[Drug Name2]],'Data Options'!$R$1:$S$100,2,FALSE), " ")</f>
        <v xml:space="preserve"> </v>
      </c>
      <c r="V125" s="32"/>
      <c r="W125" s="32"/>
      <c r="X125" s="53"/>
      <c r="Y125" s="54" t="str">
        <f>IFERROR(VLOOKUP(December[[#This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54" t="str">
        <f>IFERROR(VLOOKUP(December[[#This Row],[Drug Name4]],'Data Options'!$R$1:$S$100,2,FALSE), " ")</f>
        <v xml:space="preserve"> </v>
      </c>
      <c r="AI125" s="32"/>
      <c r="AJ125" s="32"/>
      <c r="AK125" s="53"/>
      <c r="AL125" s="54" t="str">
        <f>IFERROR(VLOOKUP(December[[#This Row],[Drug Name5]],'Data Options'!$R$1:$S$100,2,FALSE), " ")</f>
        <v xml:space="preserve"> </v>
      </c>
      <c r="AM125" s="32"/>
      <c r="AN125" s="32"/>
      <c r="AO125" s="53"/>
      <c r="AP125" s="54" t="str">
        <f>IFERROR(VLOOKUP(December[[#This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54" t="str">
        <f>IFERROR(VLOOKUP(December[[#This Row],[Drug Name7]],'Data Options'!$R$1:$S$100,2,FALSE), " ")</f>
        <v xml:space="preserve"> </v>
      </c>
      <c r="AZ125" s="32"/>
      <c r="BA125" s="32"/>
      <c r="BB125" s="53"/>
      <c r="BC125" s="54" t="str">
        <f>IFERROR(VLOOKUP(December[[#This Row],[Drug Name8]],'Data Options'!$R$1:$S$100,2,FALSE), " ")</f>
        <v xml:space="preserve"> </v>
      </c>
      <c r="BD125" s="32"/>
      <c r="BE125" s="32"/>
      <c r="BF125" s="53"/>
      <c r="BG125" s="54" t="str">
        <f>IFERROR(VLOOKUP(December[[#This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54" t="str">
        <f>IFERROR(VLOOKUP(December[[#This Row],[Drug Name]],'Data Options'!$R$1:$S$100,2,FALSE), " ")</f>
        <v xml:space="preserve"> </v>
      </c>
      <c r="R126" s="32"/>
      <c r="S126" s="32"/>
      <c r="T126" s="53"/>
      <c r="U126" s="54" t="str">
        <f>IFERROR(VLOOKUP(December[[#This Row],[Drug Name2]],'Data Options'!$R$1:$S$100,2,FALSE), " ")</f>
        <v xml:space="preserve"> </v>
      </c>
      <c r="V126" s="32"/>
      <c r="W126" s="32"/>
      <c r="X126" s="53"/>
      <c r="Y126" s="54" t="str">
        <f>IFERROR(VLOOKUP(December[[#This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54" t="str">
        <f>IFERROR(VLOOKUP(December[[#This Row],[Drug Name4]],'Data Options'!$R$1:$S$100,2,FALSE), " ")</f>
        <v xml:space="preserve"> </v>
      </c>
      <c r="AI126" s="32"/>
      <c r="AJ126" s="32"/>
      <c r="AK126" s="53"/>
      <c r="AL126" s="54" t="str">
        <f>IFERROR(VLOOKUP(December[[#This Row],[Drug Name5]],'Data Options'!$R$1:$S$100,2,FALSE), " ")</f>
        <v xml:space="preserve"> </v>
      </c>
      <c r="AM126" s="32"/>
      <c r="AN126" s="32"/>
      <c r="AO126" s="53"/>
      <c r="AP126" s="54" t="str">
        <f>IFERROR(VLOOKUP(December[[#This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54" t="str">
        <f>IFERROR(VLOOKUP(December[[#This Row],[Drug Name7]],'Data Options'!$R$1:$S$100,2,FALSE), " ")</f>
        <v xml:space="preserve"> </v>
      </c>
      <c r="AZ126" s="32"/>
      <c r="BA126" s="32"/>
      <c r="BB126" s="53"/>
      <c r="BC126" s="54" t="str">
        <f>IFERROR(VLOOKUP(December[[#This Row],[Drug Name8]],'Data Options'!$R$1:$S$100,2,FALSE), " ")</f>
        <v xml:space="preserve"> </v>
      </c>
      <c r="BD126" s="32"/>
      <c r="BE126" s="32"/>
      <c r="BF126" s="53"/>
      <c r="BG126" s="54" t="str">
        <f>IFERROR(VLOOKUP(December[[#This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54" t="str">
        <f>IFERROR(VLOOKUP(December[[#This Row],[Drug Name]],'Data Options'!$R$1:$S$100,2,FALSE), " ")</f>
        <v xml:space="preserve"> </v>
      </c>
      <c r="R127" s="32"/>
      <c r="S127" s="32"/>
      <c r="T127" s="53"/>
      <c r="U127" s="54" t="str">
        <f>IFERROR(VLOOKUP(December[[#This Row],[Drug Name2]],'Data Options'!$R$1:$S$100,2,FALSE), " ")</f>
        <v xml:space="preserve"> </v>
      </c>
      <c r="V127" s="32"/>
      <c r="W127" s="32"/>
      <c r="X127" s="53"/>
      <c r="Y127" s="54" t="str">
        <f>IFERROR(VLOOKUP(December[[#This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54" t="str">
        <f>IFERROR(VLOOKUP(December[[#This Row],[Drug Name4]],'Data Options'!$R$1:$S$100,2,FALSE), " ")</f>
        <v xml:space="preserve"> </v>
      </c>
      <c r="AI127" s="32"/>
      <c r="AJ127" s="32"/>
      <c r="AK127" s="53"/>
      <c r="AL127" s="54" t="str">
        <f>IFERROR(VLOOKUP(December[[#This Row],[Drug Name5]],'Data Options'!$R$1:$S$100,2,FALSE), " ")</f>
        <v xml:space="preserve"> </v>
      </c>
      <c r="AM127" s="32"/>
      <c r="AN127" s="32"/>
      <c r="AO127" s="53"/>
      <c r="AP127" s="54" t="str">
        <f>IFERROR(VLOOKUP(December[[#This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54" t="str">
        <f>IFERROR(VLOOKUP(December[[#This Row],[Drug Name7]],'Data Options'!$R$1:$S$100,2,FALSE), " ")</f>
        <v xml:space="preserve"> </v>
      </c>
      <c r="AZ127" s="32"/>
      <c r="BA127" s="32"/>
      <c r="BB127" s="53"/>
      <c r="BC127" s="54" t="str">
        <f>IFERROR(VLOOKUP(December[[#This Row],[Drug Name8]],'Data Options'!$R$1:$S$100,2,FALSE), " ")</f>
        <v xml:space="preserve"> </v>
      </c>
      <c r="BD127" s="32"/>
      <c r="BE127" s="32"/>
      <c r="BF127" s="53"/>
      <c r="BG127" s="54" t="str">
        <f>IFERROR(VLOOKUP(December[[#This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54" t="str">
        <f>IFERROR(VLOOKUP(December[[#This Row],[Drug Name]],'Data Options'!$R$1:$S$100,2,FALSE), " ")</f>
        <v xml:space="preserve"> </v>
      </c>
      <c r="R128" s="32"/>
      <c r="S128" s="32"/>
      <c r="T128" s="53"/>
      <c r="U128" s="54" t="str">
        <f>IFERROR(VLOOKUP(December[[#This Row],[Drug Name2]],'Data Options'!$R$1:$S$100,2,FALSE), " ")</f>
        <v xml:space="preserve"> </v>
      </c>
      <c r="V128" s="32"/>
      <c r="W128" s="32"/>
      <c r="X128" s="53"/>
      <c r="Y128" s="54" t="str">
        <f>IFERROR(VLOOKUP(December[[#This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54" t="str">
        <f>IFERROR(VLOOKUP(December[[#This Row],[Drug Name4]],'Data Options'!$R$1:$S$100,2,FALSE), " ")</f>
        <v xml:space="preserve"> </v>
      </c>
      <c r="AI128" s="32"/>
      <c r="AJ128" s="32"/>
      <c r="AK128" s="53"/>
      <c r="AL128" s="54" t="str">
        <f>IFERROR(VLOOKUP(December[[#This Row],[Drug Name5]],'Data Options'!$R$1:$S$100,2,FALSE), " ")</f>
        <v xml:space="preserve"> </v>
      </c>
      <c r="AM128" s="32"/>
      <c r="AN128" s="32"/>
      <c r="AO128" s="53"/>
      <c r="AP128" s="54" t="str">
        <f>IFERROR(VLOOKUP(December[[#This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54" t="str">
        <f>IFERROR(VLOOKUP(December[[#This Row],[Drug Name7]],'Data Options'!$R$1:$S$100,2,FALSE), " ")</f>
        <v xml:space="preserve"> </v>
      </c>
      <c r="AZ128" s="32"/>
      <c r="BA128" s="32"/>
      <c r="BB128" s="53"/>
      <c r="BC128" s="54" t="str">
        <f>IFERROR(VLOOKUP(December[[#This Row],[Drug Name8]],'Data Options'!$R$1:$S$100,2,FALSE), " ")</f>
        <v xml:space="preserve"> </v>
      </c>
      <c r="BD128" s="32"/>
      <c r="BE128" s="32"/>
      <c r="BF128" s="53"/>
      <c r="BG128" s="54" t="str">
        <f>IFERROR(VLOOKUP(December[[#This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54" t="str">
        <f>IFERROR(VLOOKUP(December[[#This Row],[Drug Name]],'Data Options'!$R$1:$S$100,2,FALSE), " ")</f>
        <v xml:space="preserve"> </v>
      </c>
      <c r="R129" s="32"/>
      <c r="S129" s="32"/>
      <c r="T129" s="53"/>
      <c r="U129" s="54" t="str">
        <f>IFERROR(VLOOKUP(December[[#This Row],[Drug Name2]],'Data Options'!$R$1:$S$100,2,FALSE), " ")</f>
        <v xml:space="preserve"> </v>
      </c>
      <c r="V129" s="32"/>
      <c r="W129" s="32"/>
      <c r="X129" s="53"/>
      <c r="Y129" s="54" t="str">
        <f>IFERROR(VLOOKUP(December[[#This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54" t="str">
        <f>IFERROR(VLOOKUP(December[[#This Row],[Drug Name4]],'Data Options'!$R$1:$S$100,2,FALSE), " ")</f>
        <v xml:space="preserve"> </v>
      </c>
      <c r="AI129" s="32"/>
      <c r="AJ129" s="32"/>
      <c r="AK129" s="53"/>
      <c r="AL129" s="54" t="str">
        <f>IFERROR(VLOOKUP(December[[#This Row],[Drug Name5]],'Data Options'!$R$1:$S$100,2,FALSE), " ")</f>
        <v xml:space="preserve"> </v>
      </c>
      <c r="AM129" s="32"/>
      <c r="AN129" s="32"/>
      <c r="AO129" s="53"/>
      <c r="AP129" s="54" t="str">
        <f>IFERROR(VLOOKUP(December[[#This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54" t="str">
        <f>IFERROR(VLOOKUP(December[[#This Row],[Drug Name7]],'Data Options'!$R$1:$S$100,2,FALSE), " ")</f>
        <v xml:space="preserve"> </v>
      </c>
      <c r="AZ129" s="32"/>
      <c r="BA129" s="32"/>
      <c r="BB129" s="53"/>
      <c r="BC129" s="54" t="str">
        <f>IFERROR(VLOOKUP(December[[#This Row],[Drug Name8]],'Data Options'!$R$1:$S$100,2,FALSE), " ")</f>
        <v xml:space="preserve"> </v>
      </c>
      <c r="BD129" s="32"/>
      <c r="BE129" s="32"/>
      <c r="BF129" s="53"/>
      <c r="BG129" s="54" t="str">
        <f>IFERROR(VLOOKUP(December[[#This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54" t="str">
        <f>IFERROR(VLOOKUP(December[[#This Row],[Drug Name]],'Data Options'!$R$1:$S$100,2,FALSE), " ")</f>
        <v xml:space="preserve"> </v>
      </c>
      <c r="R130" s="32"/>
      <c r="S130" s="32"/>
      <c r="T130" s="53"/>
      <c r="U130" s="54" t="str">
        <f>IFERROR(VLOOKUP(December[[#This Row],[Drug Name2]],'Data Options'!$R$1:$S$100,2,FALSE), " ")</f>
        <v xml:space="preserve"> </v>
      </c>
      <c r="V130" s="32"/>
      <c r="W130" s="32"/>
      <c r="X130" s="53"/>
      <c r="Y130" s="54" t="str">
        <f>IFERROR(VLOOKUP(December[[#This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54" t="str">
        <f>IFERROR(VLOOKUP(December[[#This Row],[Drug Name4]],'Data Options'!$R$1:$S$100,2,FALSE), " ")</f>
        <v xml:space="preserve"> </v>
      </c>
      <c r="AI130" s="32"/>
      <c r="AJ130" s="32"/>
      <c r="AK130" s="53"/>
      <c r="AL130" s="54" t="str">
        <f>IFERROR(VLOOKUP(December[[#This Row],[Drug Name5]],'Data Options'!$R$1:$S$100,2,FALSE), " ")</f>
        <v xml:space="preserve"> </v>
      </c>
      <c r="AM130" s="32"/>
      <c r="AN130" s="32"/>
      <c r="AO130" s="53"/>
      <c r="AP130" s="54" t="str">
        <f>IFERROR(VLOOKUP(December[[#This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54" t="str">
        <f>IFERROR(VLOOKUP(December[[#This Row],[Drug Name7]],'Data Options'!$R$1:$S$100,2,FALSE), " ")</f>
        <v xml:space="preserve"> </v>
      </c>
      <c r="AZ130" s="32"/>
      <c r="BA130" s="32"/>
      <c r="BB130" s="53"/>
      <c r="BC130" s="54" t="str">
        <f>IFERROR(VLOOKUP(December[[#This Row],[Drug Name8]],'Data Options'!$R$1:$S$100,2,FALSE), " ")</f>
        <v xml:space="preserve"> </v>
      </c>
      <c r="BD130" s="32"/>
      <c r="BE130" s="32"/>
      <c r="BF130" s="53"/>
      <c r="BG130" s="54" t="str">
        <f>IFERROR(VLOOKUP(December[[#This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54" t="str">
        <f>IFERROR(VLOOKUP(December[[#This Row],[Drug Name]],'Data Options'!$R$1:$S$100,2,FALSE), " ")</f>
        <v xml:space="preserve"> </v>
      </c>
      <c r="R131" s="32"/>
      <c r="S131" s="32"/>
      <c r="T131" s="53"/>
      <c r="U131" s="54" t="str">
        <f>IFERROR(VLOOKUP(December[[#This Row],[Drug Name2]],'Data Options'!$R$1:$S$100,2,FALSE), " ")</f>
        <v xml:space="preserve"> </v>
      </c>
      <c r="V131" s="32"/>
      <c r="W131" s="32"/>
      <c r="X131" s="53"/>
      <c r="Y131" s="54" t="str">
        <f>IFERROR(VLOOKUP(December[[#This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54" t="str">
        <f>IFERROR(VLOOKUP(December[[#This Row],[Drug Name4]],'Data Options'!$R$1:$S$100,2,FALSE), " ")</f>
        <v xml:space="preserve"> </v>
      </c>
      <c r="AI131" s="32"/>
      <c r="AJ131" s="32"/>
      <c r="AK131" s="53"/>
      <c r="AL131" s="54" t="str">
        <f>IFERROR(VLOOKUP(December[[#This Row],[Drug Name5]],'Data Options'!$R$1:$S$100,2,FALSE), " ")</f>
        <v xml:space="preserve"> </v>
      </c>
      <c r="AM131" s="32"/>
      <c r="AN131" s="32"/>
      <c r="AO131" s="53"/>
      <c r="AP131" s="54" t="str">
        <f>IFERROR(VLOOKUP(December[[#This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54" t="str">
        <f>IFERROR(VLOOKUP(December[[#This Row],[Drug Name7]],'Data Options'!$R$1:$S$100,2,FALSE), " ")</f>
        <v xml:space="preserve"> </v>
      </c>
      <c r="AZ131" s="32"/>
      <c r="BA131" s="32"/>
      <c r="BB131" s="53"/>
      <c r="BC131" s="54" t="str">
        <f>IFERROR(VLOOKUP(December[[#This Row],[Drug Name8]],'Data Options'!$R$1:$S$100,2,FALSE), " ")</f>
        <v xml:space="preserve"> </v>
      </c>
      <c r="BD131" s="32"/>
      <c r="BE131" s="32"/>
      <c r="BF131" s="53"/>
      <c r="BG131" s="54" t="str">
        <f>IFERROR(VLOOKUP(December[[#This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54" t="str">
        <f>IFERROR(VLOOKUP(December[[#This Row],[Drug Name]],'Data Options'!$R$1:$S$100,2,FALSE), " ")</f>
        <v xml:space="preserve"> </v>
      </c>
      <c r="R132" s="32"/>
      <c r="S132" s="32"/>
      <c r="T132" s="53"/>
      <c r="U132" s="54" t="str">
        <f>IFERROR(VLOOKUP(December[[#This Row],[Drug Name2]],'Data Options'!$R$1:$S$100,2,FALSE), " ")</f>
        <v xml:space="preserve"> </v>
      </c>
      <c r="V132" s="32"/>
      <c r="W132" s="32"/>
      <c r="X132" s="53"/>
      <c r="Y132" s="54" t="str">
        <f>IFERROR(VLOOKUP(December[[#This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54" t="str">
        <f>IFERROR(VLOOKUP(December[[#This Row],[Drug Name4]],'Data Options'!$R$1:$S$100,2,FALSE), " ")</f>
        <v xml:space="preserve"> </v>
      </c>
      <c r="AI132" s="32"/>
      <c r="AJ132" s="32"/>
      <c r="AK132" s="53"/>
      <c r="AL132" s="54" t="str">
        <f>IFERROR(VLOOKUP(December[[#This Row],[Drug Name5]],'Data Options'!$R$1:$S$100,2,FALSE), " ")</f>
        <v xml:space="preserve"> </v>
      </c>
      <c r="AM132" s="32"/>
      <c r="AN132" s="32"/>
      <c r="AO132" s="53"/>
      <c r="AP132" s="54" t="str">
        <f>IFERROR(VLOOKUP(December[[#This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54" t="str">
        <f>IFERROR(VLOOKUP(December[[#This Row],[Drug Name7]],'Data Options'!$R$1:$S$100,2,FALSE), " ")</f>
        <v xml:space="preserve"> </v>
      </c>
      <c r="AZ132" s="32"/>
      <c r="BA132" s="32"/>
      <c r="BB132" s="53"/>
      <c r="BC132" s="54" t="str">
        <f>IFERROR(VLOOKUP(December[[#This Row],[Drug Name8]],'Data Options'!$R$1:$S$100,2,FALSE), " ")</f>
        <v xml:space="preserve"> </v>
      </c>
      <c r="BD132" s="32"/>
      <c r="BE132" s="32"/>
      <c r="BF132" s="53"/>
      <c r="BG132" s="54" t="str">
        <f>IFERROR(VLOOKUP(December[[#This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54" t="str">
        <f>IFERROR(VLOOKUP(December[[#This Row],[Drug Name]],'Data Options'!$R$1:$S$100,2,FALSE), " ")</f>
        <v xml:space="preserve"> </v>
      </c>
      <c r="R133" s="32"/>
      <c r="S133" s="32"/>
      <c r="T133" s="53"/>
      <c r="U133" s="54" t="str">
        <f>IFERROR(VLOOKUP(December[[#This Row],[Drug Name2]],'Data Options'!$R$1:$S$100,2,FALSE), " ")</f>
        <v xml:space="preserve"> </v>
      </c>
      <c r="V133" s="32"/>
      <c r="W133" s="32"/>
      <c r="X133" s="53"/>
      <c r="Y133" s="54" t="str">
        <f>IFERROR(VLOOKUP(December[[#This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54" t="str">
        <f>IFERROR(VLOOKUP(December[[#This Row],[Drug Name4]],'Data Options'!$R$1:$S$100,2,FALSE), " ")</f>
        <v xml:space="preserve"> </v>
      </c>
      <c r="AI133" s="32"/>
      <c r="AJ133" s="32"/>
      <c r="AK133" s="53"/>
      <c r="AL133" s="54" t="str">
        <f>IFERROR(VLOOKUP(December[[#This Row],[Drug Name5]],'Data Options'!$R$1:$S$100,2,FALSE), " ")</f>
        <v xml:space="preserve"> </v>
      </c>
      <c r="AM133" s="32"/>
      <c r="AN133" s="32"/>
      <c r="AO133" s="53"/>
      <c r="AP133" s="54" t="str">
        <f>IFERROR(VLOOKUP(December[[#This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54" t="str">
        <f>IFERROR(VLOOKUP(December[[#This Row],[Drug Name7]],'Data Options'!$R$1:$S$100,2,FALSE), " ")</f>
        <v xml:space="preserve"> </v>
      </c>
      <c r="AZ133" s="32"/>
      <c r="BA133" s="32"/>
      <c r="BB133" s="53"/>
      <c r="BC133" s="54" t="str">
        <f>IFERROR(VLOOKUP(December[[#This Row],[Drug Name8]],'Data Options'!$R$1:$S$100,2,FALSE), " ")</f>
        <v xml:space="preserve"> </v>
      </c>
      <c r="BD133" s="32"/>
      <c r="BE133" s="32"/>
      <c r="BF133" s="53"/>
      <c r="BG133" s="54" t="str">
        <f>IFERROR(VLOOKUP(December[[#This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54" t="str">
        <f>IFERROR(VLOOKUP(December[[#This Row],[Drug Name]],'Data Options'!$R$1:$S$100,2,FALSE), " ")</f>
        <v xml:space="preserve"> </v>
      </c>
      <c r="R134" s="32"/>
      <c r="S134" s="32"/>
      <c r="T134" s="53"/>
      <c r="U134" s="54" t="str">
        <f>IFERROR(VLOOKUP(December[[#This Row],[Drug Name2]],'Data Options'!$R$1:$S$100,2,FALSE), " ")</f>
        <v xml:space="preserve"> </v>
      </c>
      <c r="V134" s="32"/>
      <c r="W134" s="32"/>
      <c r="X134" s="53"/>
      <c r="Y134" s="54" t="str">
        <f>IFERROR(VLOOKUP(December[[#This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54" t="str">
        <f>IFERROR(VLOOKUP(December[[#This Row],[Drug Name4]],'Data Options'!$R$1:$S$100,2,FALSE), " ")</f>
        <v xml:space="preserve"> </v>
      </c>
      <c r="AI134" s="32"/>
      <c r="AJ134" s="32"/>
      <c r="AK134" s="53"/>
      <c r="AL134" s="54" t="str">
        <f>IFERROR(VLOOKUP(December[[#This Row],[Drug Name5]],'Data Options'!$R$1:$S$100,2,FALSE), " ")</f>
        <v xml:space="preserve"> </v>
      </c>
      <c r="AM134" s="32"/>
      <c r="AN134" s="32"/>
      <c r="AO134" s="53"/>
      <c r="AP134" s="54" t="str">
        <f>IFERROR(VLOOKUP(December[[#This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54" t="str">
        <f>IFERROR(VLOOKUP(December[[#This Row],[Drug Name7]],'Data Options'!$R$1:$S$100,2,FALSE), " ")</f>
        <v xml:space="preserve"> </v>
      </c>
      <c r="AZ134" s="32"/>
      <c r="BA134" s="32"/>
      <c r="BB134" s="53"/>
      <c r="BC134" s="54" t="str">
        <f>IFERROR(VLOOKUP(December[[#This Row],[Drug Name8]],'Data Options'!$R$1:$S$100,2,FALSE), " ")</f>
        <v xml:space="preserve"> </v>
      </c>
      <c r="BD134" s="32"/>
      <c r="BE134" s="32"/>
      <c r="BF134" s="53"/>
      <c r="BG134" s="54" t="str">
        <f>IFERROR(VLOOKUP(December[[#This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54" t="str">
        <f>IFERROR(VLOOKUP(December[[#This Row],[Drug Name]],'Data Options'!$R$1:$S$100,2,FALSE), " ")</f>
        <v xml:space="preserve"> </v>
      </c>
      <c r="R135" s="32"/>
      <c r="S135" s="32"/>
      <c r="T135" s="53"/>
      <c r="U135" s="54" t="str">
        <f>IFERROR(VLOOKUP(December[[#This Row],[Drug Name2]],'Data Options'!$R$1:$S$100,2,FALSE), " ")</f>
        <v xml:space="preserve"> </v>
      </c>
      <c r="V135" s="32"/>
      <c r="W135" s="32"/>
      <c r="X135" s="53"/>
      <c r="Y135" s="54" t="str">
        <f>IFERROR(VLOOKUP(December[[#This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54" t="str">
        <f>IFERROR(VLOOKUP(December[[#This Row],[Drug Name4]],'Data Options'!$R$1:$S$100,2,FALSE), " ")</f>
        <v xml:space="preserve"> </v>
      </c>
      <c r="AI135" s="32"/>
      <c r="AJ135" s="32"/>
      <c r="AK135" s="53"/>
      <c r="AL135" s="54" t="str">
        <f>IFERROR(VLOOKUP(December[[#This Row],[Drug Name5]],'Data Options'!$R$1:$S$100,2,FALSE), " ")</f>
        <v xml:space="preserve"> </v>
      </c>
      <c r="AM135" s="32"/>
      <c r="AN135" s="32"/>
      <c r="AO135" s="53"/>
      <c r="AP135" s="54" t="str">
        <f>IFERROR(VLOOKUP(December[[#This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54" t="str">
        <f>IFERROR(VLOOKUP(December[[#This Row],[Drug Name7]],'Data Options'!$R$1:$S$100,2,FALSE), " ")</f>
        <v xml:space="preserve"> </v>
      </c>
      <c r="AZ135" s="32"/>
      <c r="BA135" s="32"/>
      <c r="BB135" s="53"/>
      <c r="BC135" s="54" t="str">
        <f>IFERROR(VLOOKUP(December[[#This Row],[Drug Name8]],'Data Options'!$R$1:$S$100,2,FALSE), " ")</f>
        <v xml:space="preserve"> </v>
      </c>
      <c r="BD135" s="32"/>
      <c r="BE135" s="32"/>
      <c r="BF135" s="53"/>
      <c r="BG135" s="54" t="str">
        <f>IFERROR(VLOOKUP(December[[#This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54" t="str">
        <f>IFERROR(VLOOKUP(December[[#This Row],[Drug Name]],'Data Options'!$R$1:$S$100,2,FALSE), " ")</f>
        <v xml:space="preserve"> </v>
      </c>
      <c r="R136" s="32"/>
      <c r="S136" s="32"/>
      <c r="T136" s="53"/>
      <c r="U136" s="54" t="str">
        <f>IFERROR(VLOOKUP(December[[#This Row],[Drug Name2]],'Data Options'!$R$1:$S$100,2,FALSE), " ")</f>
        <v xml:space="preserve"> </v>
      </c>
      <c r="V136" s="32"/>
      <c r="W136" s="32"/>
      <c r="X136" s="53"/>
      <c r="Y136" s="54" t="str">
        <f>IFERROR(VLOOKUP(December[[#This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54" t="str">
        <f>IFERROR(VLOOKUP(December[[#This Row],[Drug Name4]],'Data Options'!$R$1:$S$100,2,FALSE), " ")</f>
        <v xml:space="preserve"> </v>
      </c>
      <c r="AI136" s="32"/>
      <c r="AJ136" s="32"/>
      <c r="AK136" s="53"/>
      <c r="AL136" s="54" t="str">
        <f>IFERROR(VLOOKUP(December[[#This Row],[Drug Name5]],'Data Options'!$R$1:$S$100,2,FALSE), " ")</f>
        <v xml:space="preserve"> </v>
      </c>
      <c r="AM136" s="32"/>
      <c r="AN136" s="32"/>
      <c r="AO136" s="53"/>
      <c r="AP136" s="54" t="str">
        <f>IFERROR(VLOOKUP(December[[#This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54" t="str">
        <f>IFERROR(VLOOKUP(December[[#This Row],[Drug Name7]],'Data Options'!$R$1:$S$100,2,FALSE), " ")</f>
        <v xml:space="preserve"> </v>
      </c>
      <c r="AZ136" s="32"/>
      <c r="BA136" s="32"/>
      <c r="BB136" s="53"/>
      <c r="BC136" s="54" t="str">
        <f>IFERROR(VLOOKUP(December[[#This Row],[Drug Name8]],'Data Options'!$R$1:$S$100,2,FALSE), " ")</f>
        <v xml:space="preserve"> </v>
      </c>
      <c r="BD136" s="32"/>
      <c r="BE136" s="32"/>
      <c r="BF136" s="53"/>
      <c r="BG136" s="54" t="str">
        <f>IFERROR(VLOOKUP(December[[#This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54" t="str">
        <f>IFERROR(VLOOKUP(December[[#This Row],[Drug Name]],'Data Options'!$R$1:$S$100,2,FALSE), " ")</f>
        <v xml:space="preserve"> </v>
      </c>
      <c r="R137" s="32"/>
      <c r="S137" s="32"/>
      <c r="T137" s="53"/>
      <c r="U137" s="54" t="str">
        <f>IFERROR(VLOOKUP(December[[#This Row],[Drug Name2]],'Data Options'!$R$1:$S$100,2,FALSE), " ")</f>
        <v xml:space="preserve"> </v>
      </c>
      <c r="V137" s="32"/>
      <c r="W137" s="32"/>
      <c r="X137" s="53"/>
      <c r="Y137" s="54" t="str">
        <f>IFERROR(VLOOKUP(December[[#This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54" t="str">
        <f>IFERROR(VLOOKUP(December[[#This Row],[Drug Name4]],'Data Options'!$R$1:$S$100,2,FALSE), " ")</f>
        <v xml:space="preserve"> </v>
      </c>
      <c r="AI137" s="32"/>
      <c r="AJ137" s="32"/>
      <c r="AK137" s="53"/>
      <c r="AL137" s="54" t="str">
        <f>IFERROR(VLOOKUP(December[[#This Row],[Drug Name5]],'Data Options'!$R$1:$S$100,2,FALSE), " ")</f>
        <v xml:space="preserve"> </v>
      </c>
      <c r="AM137" s="32"/>
      <c r="AN137" s="32"/>
      <c r="AO137" s="53"/>
      <c r="AP137" s="54" t="str">
        <f>IFERROR(VLOOKUP(December[[#This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54" t="str">
        <f>IFERROR(VLOOKUP(December[[#This Row],[Drug Name7]],'Data Options'!$R$1:$S$100,2,FALSE), " ")</f>
        <v xml:space="preserve"> </v>
      </c>
      <c r="AZ137" s="32"/>
      <c r="BA137" s="32"/>
      <c r="BB137" s="53"/>
      <c r="BC137" s="54" t="str">
        <f>IFERROR(VLOOKUP(December[[#This Row],[Drug Name8]],'Data Options'!$R$1:$S$100,2,FALSE), " ")</f>
        <v xml:space="preserve"> </v>
      </c>
      <c r="BD137" s="32"/>
      <c r="BE137" s="32"/>
      <c r="BF137" s="53"/>
      <c r="BG137" s="54" t="str">
        <f>IFERROR(VLOOKUP(December[[#This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54" t="str">
        <f>IFERROR(VLOOKUP(December[[#This Row],[Drug Name]],'Data Options'!$R$1:$S$100,2,FALSE), " ")</f>
        <v xml:space="preserve"> </v>
      </c>
      <c r="R138" s="32"/>
      <c r="S138" s="32"/>
      <c r="T138" s="53"/>
      <c r="U138" s="54" t="str">
        <f>IFERROR(VLOOKUP(December[[#This Row],[Drug Name2]],'Data Options'!$R$1:$S$100,2,FALSE), " ")</f>
        <v xml:space="preserve"> </v>
      </c>
      <c r="V138" s="32"/>
      <c r="W138" s="32"/>
      <c r="X138" s="53"/>
      <c r="Y138" s="54" t="str">
        <f>IFERROR(VLOOKUP(December[[#This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54" t="str">
        <f>IFERROR(VLOOKUP(December[[#This Row],[Drug Name4]],'Data Options'!$R$1:$S$100,2,FALSE), " ")</f>
        <v xml:space="preserve"> </v>
      </c>
      <c r="AI138" s="32"/>
      <c r="AJ138" s="32"/>
      <c r="AK138" s="53"/>
      <c r="AL138" s="54" t="str">
        <f>IFERROR(VLOOKUP(December[[#This Row],[Drug Name5]],'Data Options'!$R$1:$S$100,2,FALSE), " ")</f>
        <v xml:space="preserve"> </v>
      </c>
      <c r="AM138" s="32"/>
      <c r="AN138" s="32"/>
      <c r="AO138" s="53"/>
      <c r="AP138" s="54" t="str">
        <f>IFERROR(VLOOKUP(December[[#This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54" t="str">
        <f>IFERROR(VLOOKUP(December[[#This Row],[Drug Name7]],'Data Options'!$R$1:$S$100,2,FALSE), " ")</f>
        <v xml:space="preserve"> </v>
      </c>
      <c r="AZ138" s="32"/>
      <c r="BA138" s="32"/>
      <c r="BB138" s="53"/>
      <c r="BC138" s="54" t="str">
        <f>IFERROR(VLOOKUP(December[[#This Row],[Drug Name8]],'Data Options'!$R$1:$S$100,2,FALSE), " ")</f>
        <v xml:space="preserve"> </v>
      </c>
      <c r="BD138" s="32"/>
      <c r="BE138" s="32"/>
      <c r="BF138" s="53"/>
      <c r="BG138" s="54" t="str">
        <f>IFERROR(VLOOKUP(December[[#This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54" t="str">
        <f>IFERROR(VLOOKUP(December[[#This Row],[Drug Name]],'Data Options'!$R$1:$S$100,2,FALSE), " ")</f>
        <v xml:space="preserve"> </v>
      </c>
      <c r="R139" s="32"/>
      <c r="S139" s="32"/>
      <c r="T139" s="53"/>
      <c r="U139" s="54" t="str">
        <f>IFERROR(VLOOKUP(December[[#This Row],[Drug Name2]],'Data Options'!$R$1:$S$100,2,FALSE), " ")</f>
        <v xml:space="preserve"> </v>
      </c>
      <c r="V139" s="32"/>
      <c r="W139" s="32"/>
      <c r="X139" s="53"/>
      <c r="Y139" s="54" t="str">
        <f>IFERROR(VLOOKUP(December[[#This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54" t="str">
        <f>IFERROR(VLOOKUP(December[[#This Row],[Drug Name4]],'Data Options'!$R$1:$S$100,2,FALSE), " ")</f>
        <v xml:space="preserve"> </v>
      </c>
      <c r="AI139" s="32"/>
      <c r="AJ139" s="32"/>
      <c r="AK139" s="53"/>
      <c r="AL139" s="54" t="str">
        <f>IFERROR(VLOOKUP(December[[#This Row],[Drug Name5]],'Data Options'!$R$1:$S$100,2,FALSE), " ")</f>
        <v xml:space="preserve"> </v>
      </c>
      <c r="AM139" s="32"/>
      <c r="AN139" s="32"/>
      <c r="AO139" s="53"/>
      <c r="AP139" s="54" t="str">
        <f>IFERROR(VLOOKUP(December[[#This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54" t="str">
        <f>IFERROR(VLOOKUP(December[[#This Row],[Drug Name7]],'Data Options'!$R$1:$S$100,2,FALSE), " ")</f>
        <v xml:space="preserve"> </v>
      </c>
      <c r="AZ139" s="32"/>
      <c r="BA139" s="32"/>
      <c r="BB139" s="53"/>
      <c r="BC139" s="54" t="str">
        <f>IFERROR(VLOOKUP(December[[#This Row],[Drug Name8]],'Data Options'!$R$1:$S$100,2,FALSE), " ")</f>
        <v xml:space="preserve"> </v>
      </c>
      <c r="BD139" s="32"/>
      <c r="BE139" s="32"/>
      <c r="BF139" s="53"/>
      <c r="BG139" s="54" t="str">
        <f>IFERROR(VLOOKUP(December[[#This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54" t="str">
        <f>IFERROR(VLOOKUP(December[[#This Row],[Drug Name]],'Data Options'!$R$1:$S$100,2,FALSE), " ")</f>
        <v xml:space="preserve"> </v>
      </c>
      <c r="R140" s="32"/>
      <c r="S140" s="32"/>
      <c r="T140" s="53"/>
      <c r="U140" s="54" t="str">
        <f>IFERROR(VLOOKUP(December[[#This Row],[Drug Name2]],'Data Options'!$R$1:$S$100,2,FALSE), " ")</f>
        <v xml:space="preserve"> </v>
      </c>
      <c r="V140" s="32"/>
      <c r="W140" s="32"/>
      <c r="X140" s="53"/>
      <c r="Y140" s="54" t="str">
        <f>IFERROR(VLOOKUP(December[[#This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54" t="str">
        <f>IFERROR(VLOOKUP(December[[#This Row],[Drug Name4]],'Data Options'!$R$1:$S$100,2,FALSE), " ")</f>
        <v xml:space="preserve"> </v>
      </c>
      <c r="AI140" s="32"/>
      <c r="AJ140" s="32"/>
      <c r="AK140" s="53"/>
      <c r="AL140" s="54" t="str">
        <f>IFERROR(VLOOKUP(December[[#This Row],[Drug Name5]],'Data Options'!$R$1:$S$100,2,FALSE), " ")</f>
        <v xml:space="preserve"> </v>
      </c>
      <c r="AM140" s="32"/>
      <c r="AN140" s="32"/>
      <c r="AO140" s="53"/>
      <c r="AP140" s="54" t="str">
        <f>IFERROR(VLOOKUP(December[[#This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54" t="str">
        <f>IFERROR(VLOOKUP(December[[#This Row],[Drug Name7]],'Data Options'!$R$1:$S$100,2,FALSE), " ")</f>
        <v xml:space="preserve"> </v>
      </c>
      <c r="AZ140" s="32"/>
      <c r="BA140" s="32"/>
      <c r="BB140" s="53"/>
      <c r="BC140" s="54" t="str">
        <f>IFERROR(VLOOKUP(December[[#This Row],[Drug Name8]],'Data Options'!$R$1:$S$100,2,FALSE), " ")</f>
        <v xml:space="preserve"> </v>
      </c>
      <c r="BD140" s="32"/>
      <c r="BE140" s="32"/>
      <c r="BF140" s="53"/>
      <c r="BG140" s="54" t="str">
        <f>IFERROR(VLOOKUP(December[[#This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54" t="str">
        <f>IFERROR(VLOOKUP(December[[#This Row],[Drug Name]],'Data Options'!$R$1:$S$100,2,FALSE), " ")</f>
        <v xml:space="preserve"> </v>
      </c>
      <c r="R141" s="32"/>
      <c r="S141" s="32"/>
      <c r="T141" s="53"/>
      <c r="U141" s="54" t="str">
        <f>IFERROR(VLOOKUP(December[[#This Row],[Drug Name2]],'Data Options'!$R$1:$S$100,2,FALSE), " ")</f>
        <v xml:space="preserve"> </v>
      </c>
      <c r="V141" s="32"/>
      <c r="W141" s="32"/>
      <c r="X141" s="53"/>
      <c r="Y141" s="54" t="str">
        <f>IFERROR(VLOOKUP(December[[#This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54" t="str">
        <f>IFERROR(VLOOKUP(December[[#This Row],[Drug Name4]],'Data Options'!$R$1:$S$100,2,FALSE), " ")</f>
        <v xml:space="preserve"> </v>
      </c>
      <c r="AI141" s="32"/>
      <c r="AJ141" s="32"/>
      <c r="AK141" s="53"/>
      <c r="AL141" s="54" t="str">
        <f>IFERROR(VLOOKUP(December[[#This Row],[Drug Name5]],'Data Options'!$R$1:$S$100,2,FALSE), " ")</f>
        <v xml:space="preserve"> </v>
      </c>
      <c r="AM141" s="32"/>
      <c r="AN141" s="32"/>
      <c r="AO141" s="53"/>
      <c r="AP141" s="54" t="str">
        <f>IFERROR(VLOOKUP(December[[#This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54" t="str">
        <f>IFERROR(VLOOKUP(December[[#This Row],[Drug Name7]],'Data Options'!$R$1:$S$100,2,FALSE), " ")</f>
        <v xml:space="preserve"> </v>
      </c>
      <c r="AZ141" s="32"/>
      <c r="BA141" s="32"/>
      <c r="BB141" s="53"/>
      <c r="BC141" s="54" t="str">
        <f>IFERROR(VLOOKUP(December[[#This Row],[Drug Name8]],'Data Options'!$R$1:$S$100,2,FALSE), " ")</f>
        <v xml:space="preserve"> </v>
      </c>
      <c r="BD141" s="32"/>
      <c r="BE141" s="32"/>
      <c r="BF141" s="53"/>
      <c r="BG141" s="54" t="str">
        <f>IFERROR(VLOOKUP(December[[#This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54" t="str">
        <f>IFERROR(VLOOKUP(December[[#This Row],[Drug Name]],'Data Options'!$R$1:$S$100,2,FALSE), " ")</f>
        <v xml:space="preserve"> </v>
      </c>
      <c r="R142" s="32"/>
      <c r="S142" s="32"/>
      <c r="T142" s="53"/>
      <c r="U142" s="54" t="str">
        <f>IFERROR(VLOOKUP(December[[#This Row],[Drug Name2]],'Data Options'!$R$1:$S$100,2,FALSE), " ")</f>
        <v xml:space="preserve"> </v>
      </c>
      <c r="V142" s="32"/>
      <c r="W142" s="32"/>
      <c r="X142" s="53"/>
      <c r="Y142" s="54" t="str">
        <f>IFERROR(VLOOKUP(December[[#This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54" t="str">
        <f>IFERROR(VLOOKUP(December[[#This Row],[Drug Name4]],'Data Options'!$R$1:$S$100,2,FALSE), " ")</f>
        <v xml:space="preserve"> </v>
      </c>
      <c r="AI142" s="32"/>
      <c r="AJ142" s="32"/>
      <c r="AK142" s="53"/>
      <c r="AL142" s="54" t="str">
        <f>IFERROR(VLOOKUP(December[[#This Row],[Drug Name5]],'Data Options'!$R$1:$S$100,2,FALSE), " ")</f>
        <v xml:space="preserve"> </v>
      </c>
      <c r="AM142" s="32"/>
      <c r="AN142" s="32"/>
      <c r="AO142" s="53"/>
      <c r="AP142" s="54" t="str">
        <f>IFERROR(VLOOKUP(December[[#This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54" t="str">
        <f>IFERROR(VLOOKUP(December[[#This Row],[Drug Name7]],'Data Options'!$R$1:$S$100,2,FALSE), " ")</f>
        <v xml:space="preserve"> </v>
      </c>
      <c r="AZ142" s="32"/>
      <c r="BA142" s="32"/>
      <c r="BB142" s="53"/>
      <c r="BC142" s="54" t="str">
        <f>IFERROR(VLOOKUP(December[[#This Row],[Drug Name8]],'Data Options'!$R$1:$S$100,2,FALSE), " ")</f>
        <v xml:space="preserve"> </v>
      </c>
      <c r="BD142" s="32"/>
      <c r="BE142" s="32"/>
      <c r="BF142" s="53"/>
      <c r="BG142" s="54" t="str">
        <f>IFERROR(VLOOKUP(December[[#This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54" t="str">
        <f>IFERROR(VLOOKUP(December[[#This Row],[Drug Name]],'Data Options'!$R$1:$S$100,2,FALSE), " ")</f>
        <v xml:space="preserve"> </v>
      </c>
      <c r="R143" s="32"/>
      <c r="S143" s="32"/>
      <c r="T143" s="53"/>
      <c r="U143" s="54" t="str">
        <f>IFERROR(VLOOKUP(December[[#This Row],[Drug Name2]],'Data Options'!$R$1:$S$100,2,FALSE), " ")</f>
        <v xml:space="preserve"> </v>
      </c>
      <c r="V143" s="32"/>
      <c r="W143" s="32"/>
      <c r="X143" s="53"/>
      <c r="Y143" s="54" t="str">
        <f>IFERROR(VLOOKUP(December[[#This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54" t="str">
        <f>IFERROR(VLOOKUP(December[[#This Row],[Drug Name4]],'Data Options'!$R$1:$S$100,2,FALSE), " ")</f>
        <v xml:space="preserve"> </v>
      </c>
      <c r="AI143" s="32"/>
      <c r="AJ143" s="32"/>
      <c r="AK143" s="53"/>
      <c r="AL143" s="54" t="str">
        <f>IFERROR(VLOOKUP(December[[#This Row],[Drug Name5]],'Data Options'!$R$1:$S$100,2,FALSE), " ")</f>
        <v xml:space="preserve"> </v>
      </c>
      <c r="AM143" s="32"/>
      <c r="AN143" s="32"/>
      <c r="AO143" s="53"/>
      <c r="AP143" s="54" t="str">
        <f>IFERROR(VLOOKUP(December[[#This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54" t="str">
        <f>IFERROR(VLOOKUP(December[[#This Row],[Drug Name7]],'Data Options'!$R$1:$S$100,2,FALSE), " ")</f>
        <v xml:space="preserve"> </v>
      </c>
      <c r="AZ143" s="32"/>
      <c r="BA143" s="32"/>
      <c r="BB143" s="53"/>
      <c r="BC143" s="54" t="str">
        <f>IFERROR(VLOOKUP(December[[#This Row],[Drug Name8]],'Data Options'!$R$1:$S$100,2,FALSE), " ")</f>
        <v xml:space="preserve"> </v>
      </c>
      <c r="BD143" s="32"/>
      <c r="BE143" s="32"/>
      <c r="BF143" s="53"/>
      <c r="BG143" s="54" t="str">
        <f>IFERROR(VLOOKUP(December[[#This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54" t="str">
        <f>IFERROR(VLOOKUP(December[[#This Row],[Drug Name]],'Data Options'!$R$1:$S$100,2,FALSE), " ")</f>
        <v xml:space="preserve"> </v>
      </c>
      <c r="R144" s="32"/>
      <c r="S144" s="32"/>
      <c r="T144" s="53"/>
      <c r="U144" s="54" t="str">
        <f>IFERROR(VLOOKUP(December[[#This Row],[Drug Name2]],'Data Options'!$R$1:$S$100,2,FALSE), " ")</f>
        <v xml:space="preserve"> </v>
      </c>
      <c r="V144" s="32"/>
      <c r="W144" s="32"/>
      <c r="X144" s="53"/>
      <c r="Y144" s="54" t="str">
        <f>IFERROR(VLOOKUP(December[[#This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54" t="str">
        <f>IFERROR(VLOOKUP(December[[#This Row],[Drug Name4]],'Data Options'!$R$1:$S$100,2,FALSE), " ")</f>
        <v xml:space="preserve"> </v>
      </c>
      <c r="AI144" s="32"/>
      <c r="AJ144" s="32"/>
      <c r="AK144" s="53"/>
      <c r="AL144" s="54" t="str">
        <f>IFERROR(VLOOKUP(December[[#This Row],[Drug Name5]],'Data Options'!$R$1:$S$100,2,FALSE), " ")</f>
        <v xml:space="preserve"> </v>
      </c>
      <c r="AM144" s="32"/>
      <c r="AN144" s="32"/>
      <c r="AO144" s="53"/>
      <c r="AP144" s="54" t="str">
        <f>IFERROR(VLOOKUP(December[[#This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54" t="str">
        <f>IFERROR(VLOOKUP(December[[#This Row],[Drug Name7]],'Data Options'!$R$1:$S$100,2,FALSE), " ")</f>
        <v xml:space="preserve"> </v>
      </c>
      <c r="AZ144" s="32"/>
      <c r="BA144" s="32"/>
      <c r="BB144" s="53"/>
      <c r="BC144" s="54" t="str">
        <f>IFERROR(VLOOKUP(December[[#This Row],[Drug Name8]],'Data Options'!$R$1:$S$100,2,FALSE), " ")</f>
        <v xml:space="preserve"> </v>
      </c>
      <c r="BD144" s="32"/>
      <c r="BE144" s="32"/>
      <c r="BF144" s="53"/>
      <c r="BG144" s="54" t="str">
        <f>IFERROR(VLOOKUP(December[[#This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54" t="str">
        <f>IFERROR(VLOOKUP(December[[#This Row],[Drug Name]],'Data Options'!$R$1:$S$100,2,FALSE), " ")</f>
        <v xml:space="preserve"> </v>
      </c>
      <c r="R145" s="32"/>
      <c r="S145" s="32"/>
      <c r="T145" s="53"/>
      <c r="U145" s="54" t="str">
        <f>IFERROR(VLOOKUP(December[[#This Row],[Drug Name2]],'Data Options'!$R$1:$S$100,2,FALSE), " ")</f>
        <v xml:space="preserve"> </v>
      </c>
      <c r="V145" s="32"/>
      <c r="W145" s="32"/>
      <c r="X145" s="53"/>
      <c r="Y145" s="54" t="str">
        <f>IFERROR(VLOOKUP(December[[#This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54" t="str">
        <f>IFERROR(VLOOKUP(December[[#This Row],[Drug Name4]],'Data Options'!$R$1:$S$100,2,FALSE), " ")</f>
        <v xml:space="preserve"> </v>
      </c>
      <c r="AI145" s="32"/>
      <c r="AJ145" s="32"/>
      <c r="AK145" s="53"/>
      <c r="AL145" s="54" t="str">
        <f>IFERROR(VLOOKUP(December[[#This Row],[Drug Name5]],'Data Options'!$R$1:$S$100,2,FALSE), " ")</f>
        <v xml:space="preserve"> </v>
      </c>
      <c r="AM145" s="32"/>
      <c r="AN145" s="32"/>
      <c r="AO145" s="53"/>
      <c r="AP145" s="54" t="str">
        <f>IFERROR(VLOOKUP(December[[#This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54" t="str">
        <f>IFERROR(VLOOKUP(December[[#This Row],[Drug Name7]],'Data Options'!$R$1:$S$100,2,FALSE), " ")</f>
        <v xml:space="preserve"> </v>
      </c>
      <c r="AZ145" s="32"/>
      <c r="BA145" s="32"/>
      <c r="BB145" s="53"/>
      <c r="BC145" s="54" t="str">
        <f>IFERROR(VLOOKUP(December[[#This Row],[Drug Name8]],'Data Options'!$R$1:$S$100,2,FALSE), " ")</f>
        <v xml:space="preserve"> </v>
      </c>
      <c r="BD145" s="32"/>
      <c r="BE145" s="32"/>
      <c r="BF145" s="53"/>
      <c r="BG145" s="54" t="str">
        <f>IFERROR(VLOOKUP(December[[#This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54" t="str">
        <f>IFERROR(VLOOKUP(December[[#This Row],[Drug Name]],'Data Options'!$R$1:$S$100,2,FALSE), " ")</f>
        <v xml:space="preserve"> </v>
      </c>
      <c r="R146" s="32"/>
      <c r="S146" s="32"/>
      <c r="T146" s="53"/>
      <c r="U146" s="54" t="str">
        <f>IFERROR(VLOOKUP(December[[#This Row],[Drug Name2]],'Data Options'!$R$1:$S$100,2,FALSE), " ")</f>
        <v xml:space="preserve"> </v>
      </c>
      <c r="V146" s="32"/>
      <c r="W146" s="32"/>
      <c r="X146" s="53"/>
      <c r="Y146" s="54" t="str">
        <f>IFERROR(VLOOKUP(December[[#This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54" t="str">
        <f>IFERROR(VLOOKUP(December[[#This Row],[Drug Name4]],'Data Options'!$R$1:$S$100,2,FALSE), " ")</f>
        <v xml:space="preserve"> </v>
      </c>
      <c r="AI146" s="32"/>
      <c r="AJ146" s="32"/>
      <c r="AK146" s="53"/>
      <c r="AL146" s="54" t="str">
        <f>IFERROR(VLOOKUP(December[[#This Row],[Drug Name5]],'Data Options'!$R$1:$S$100,2,FALSE), " ")</f>
        <v xml:space="preserve"> </v>
      </c>
      <c r="AM146" s="32"/>
      <c r="AN146" s="32"/>
      <c r="AO146" s="53"/>
      <c r="AP146" s="54" t="str">
        <f>IFERROR(VLOOKUP(December[[#This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54" t="str">
        <f>IFERROR(VLOOKUP(December[[#This Row],[Drug Name7]],'Data Options'!$R$1:$S$100,2,FALSE), " ")</f>
        <v xml:space="preserve"> </v>
      </c>
      <c r="AZ146" s="32"/>
      <c r="BA146" s="32"/>
      <c r="BB146" s="53"/>
      <c r="BC146" s="54" t="str">
        <f>IFERROR(VLOOKUP(December[[#This Row],[Drug Name8]],'Data Options'!$R$1:$S$100,2,FALSE), " ")</f>
        <v xml:space="preserve"> </v>
      </c>
      <c r="BD146" s="32"/>
      <c r="BE146" s="32"/>
      <c r="BF146" s="53"/>
      <c r="BG146" s="54" t="str">
        <f>IFERROR(VLOOKUP(December[[#This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54" t="str">
        <f>IFERROR(VLOOKUP(December[[#This Row],[Drug Name]],'Data Options'!$R$1:$S$100,2,FALSE), " ")</f>
        <v xml:space="preserve"> </v>
      </c>
      <c r="R147" s="32"/>
      <c r="S147" s="32"/>
      <c r="T147" s="53"/>
      <c r="U147" s="54" t="str">
        <f>IFERROR(VLOOKUP(December[[#This Row],[Drug Name2]],'Data Options'!$R$1:$S$100,2,FALSE), " ")</f>
        <v xml:space="preserve"> </v>
      </c>
      <c r="V147" s="32"/>
      <c r="W147" s="32"/>
      <c r="X147" s="53"/>
      <c r="Y147" s="54" t="str">
        <f>IFERROR(VLOOKUP(December[[#This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54" t="str">
        <f>IFERROR(VLOOKUP(December[[#This Row],[Drug Name4]],'Data Options'!$R$1:$S$100,2,FALSE), " ")</f>
        <v xml:space="preserve"> </v>
      </c>
      <c r="AI147" s="32"/>
      <c r="AJ147" s="32"/>
      <c r="AK147" s="53"/>
      <c r="AL147" s="54" t="str">
        <f>IFERROR(VLOOKUP(December[[#This Row],[Drug Name5]],'Data Options'!$R$1:$S$100,2,FALSE), " ")</f>
        <v xml:space="preserve"> </v>
      </c>
      <c r="AM147" s="32"/>
      <c r="AN147" s="32"/>
      <c r="AO147" s="53"/>
      <c r="AP147" s="54" t="str">
        <f>IFERROR(VLOOKUP(December[[#This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54" t="str">
        <f>IFERROR(VLOOKUP(December[[#This Row],[Drug Name7]],'Data Options'!$R$1:$S$100,2,FALSE), " ")</f>
        <v xml:space="preserve"> </v>
      </c>
      <c r="AZ147" s="32"/>
      <c r="BA147" s="32"/>
      <c r="BB147" s="53"/>
      <c r="BC147" s="54" t="str">
        <f>IFERROR(VLOOKUP(December[[#This Row],[Drug Name8]],'Data Options'!$R$1:$S$100,2,FALSE), " ")</f>
        <v xml:space="preserve"> </v>
      </c>
      <c r="BD147" s="32"/>
      <c r="BE147" s="32"/>
      <c r="BF147" s="53"/>
      <c r="BG147" s="54" t="str">
        <f>IFERROR(VLOOKUP(December[[#This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54" t="str">
        <f>IFERROR(VLOOKUP(December[[#This Row],[Drug Name]],'Data Options'!$R$1:$S$100,2,FALSE), " ")</f>
        <v xml:space="preserve"> </v>
      </c>
      <c r="R148" s="32"/>
      <c r="S148" s="32"/>
      <c r="T148" s="53"/>
      <c r="U148" s="54" t="str">
        <f>IFERROR(VLOOKUP(December[[#This Row],[Drug Name2]],'Data Options'!$R$1:$S$100,2,FALSE), " ")</f>
        <v xml:space="preserve"> </v>
      </c>
      <c r="V148" s="32"/>
      <c r="W148" s="32"/>
      <c r="X148" s="53"/>
      <c r="Y148" s="54" t="str">
        <f>IFERROR(VLOOKUP(December[[#This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54" t="str">
        <f>IFERROR(VLOOKUP(December[[#This Row],[Drug Name4]],'Data Options'!$R$1:$S$100,2,FALSE), " ")</f>
        <v xml:space="preserve"> </v>
      </c>
      <c r="AI148" s="32"/>
      <c r="AJ148" s="32"/>
      <c r="AK148" s="53"/>
      <c r="AL148" s="54" t="str">
        <f>IFERROR(VLOOKUP(December[[#This Row],[Drug Name5]],'Data Options'!$R$1:$S$100,2,FALSE), " ")</f>
        <v xml:space="preserve"> </v>
      </c>
      <c r="AM148" s="32"/>
      <c r="AN148" s="32"/>
      <c r="AO148" s="53"/>
      <c r="AP148" s="54" t="str">
        <f>IFERROR(VLOOKUP(December[[#This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54" t="str">
        <f>IFERROR(VLOOKUP(December[[#This Row],[Drug Name7]],'Data Options'!$R$1:$S$100,2,FALSE), " ")</f>
        <v xml:space="preserve"> </v>
      </c>
      <c r="AZ148" s="32"/>
      <c r="BA148" s="32"/>
      <c r="BB148" s="53"/>
      <c r="BC148" s="54" t="str">
        <f>IFERROR(VLOOKUP(December[[#This Row],[Drug Name8]],'Data Options'!$R$1:$S$100,2,FALSE), " ")</f>
        <v xml:space="preserve"> </v>
      </c>
      <c r="BD148" s="32"/>
      <c r="BE148" s="32"/>
      <c r="BF148" s="53"/>
      <c r="BG148" s="54" t="str">
        <f>IFERROR(VLOOKUP(December[[#This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54" t="str">
        <f>IFERROR(VLOOKUP(December[[#This Row],[Drug Name]],'Data Options'!$R$1:$S$100,2,FALSE), " ")</f>
        <v xml:space="preserve"> </v>
      </c>
      <c r="R149" s="32"/>
      <c r="S149" s="32"/>
      <c r="T149" s="53"/>
      <c r="U149" s="54" t="str">
        <f>IFERROR(VLOOKUP(December[[#This Row],[Drug Name2]],'Data Options'!$R$1:$S$100,2,FALSE), " ")</f>
        <v xml:space="preserve"> </v>
      </c>
      <c r="V149" s="32"/>
      <c r="W149" s="32"/>
      <c r="X149" s="53"/>
      <c r="Y149" s="54" t="str">
        <f>IFERROR(VLOOKUP(December[[#This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54" t="str">
        <f>IFERROR(VLOOKUP(December[[#This Row],[Drug Name4]],'Data Options'!$R$1:$S$100,2,FALSE), " ")</f>
        <v xml:space="preserve"> </v>
      </c>
      <c r="AI149" s="32"/>
      <c r="AJ149" s="32"/>
      <c r="AK149" s="53"/>
      <c r="AL149" s="54" t="str">
        <f>IFERROR(VLOOKUP(December[[#This Row],[Drug Name5]],'Data Options'!$R$1:$S$100,2,FALSE), " ")</f>
        <v xml:space="preserve"> </v>
      </c>
      <c r="AM149" s="32"/>
      <c r="AN149" s="32"/>
      <c r="AO149" s="53"/>
      <c r="AP149" s="54" t="str">
        <f>IFERROR(VLOOKUP(December[[#This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54" t="str">
        <f>IFERROR(VLOOKUP(December[[#This Row],[Drug Name7]],'Data Options'!$R$1:$S$100,2,FALSE), " ")</f>
        <v xml:space="preserve"> </v>
      </c>
      <c r="AZ149" s="32"/>
      <c r="BA149" s="32"/>
      <c r="BB149" s="53"/>
      <c r="BC149" s="54" t="str">
        <f>IFERROR(VLOOKUP(December[[#This Row],[Drug Name8]],'Data Options'!$R$1:$S$100,2,FALSE), " ")</f>
        <v xml:space="preserve"> </v>
      </c>
      <c r="BD149" s="32"/>
      <c r="BE149" s="32"/>
      <c r="BF149" s="53"/>
      <c r="BG149" s="54" t="str">
        <f>IFERROR(VLOOKUP(December[[#This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54" t="str">
        <f>IFERROR(VLOOKUP(December[[#This Row],[Drug Name]],'Data Options'!$R$1:$S$100,2,FALSE), " ")</f>
        <v xml:space="preserve"> </v>
      </c>
      <c r="R150" s="32"/>
      <c r="S150" s="32"/>
      <c r="T150" s="53"/>
      <c r="U150" s="54" t="str">
        <f>IFERROR(VLOOKUP(December[[#This Row],[Drug Name2]],'Data Options'!$R$1:$S$100,2,FALSE), " ")</f>
        <v xml:space="preserve"> </v>
      </c>
      <c r="V150" s="32"/>
      <c r="W150" s="32"/>
      <c r="X150" s="53"/>
      <c r="Y150" s="54" t="str">
        <f>IFERROR(VLOOKUP(December[[#This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54" t="str">
        <f>IFERROR(VLOOKUP(December[[#This Row],[Drug Name4]],'Data Options'!$R$1:$S$100,2,FALSE), " ")</f>
        <v xml:space="preserve"> </v>
      </c>
      <c r="AI150" s="32"/>
      <c r="AJ150" s="32"/>
      <c r="AK150" s="53"/>
      <c r="AL150" s="54" t="str">
        <f>IFERROR(VLOOKUP(December[[#This Row],[Drug Name5]],'Data Options'!$R$1:$S$100,2,FALSE), " ")</f>
        <v xml:space="preserve"> </v>
      </c>
      <c r="AM150" s="32"/>
      <c r="AN150" s="32"/>
      <c r="AO150" s="53"/>
      <c r="AP150" s="54" t="str">
        <f>IFERROR(VLOOKUP(December[[#This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54" t="str">
        <f>IFERROR(VLOOKUP(December[[#This Row],[Drug Name7]],'Data Options'!$R$1:$S$100,2,FALSE), " ")</f>
        <v xml:space="preserve"> </v>
      </c>
      <c r="AZ150" s="32"/>
      <c r="BA150" s="32"/>
      <c r="BB150" s="53"/>
      <c r="BC150" s="54" t="str">
        <f>IFERROR(VLOOKUP(December[[#This Row],[Drug Name8]],'Data Options'!$R$1:$S$100,2,FALSE), " ")</f>
        <v xml:space="preserve"> </v>
      </c>
      <c r="BD150" s="32"/>
      <c r="BE150" s="32"/>
      <c r="BF150" s="53"/>
      <c r="BG150" s="54" t="str">
        <f>IFERROR(VLOOKUP(December[[#This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54" t="str">
        <f>IFERROR(VLOOKUP(December[[#This Row],[Drug Name]],'Data Options'!$R$1:$S$100,2,FALSE), " ")</f>
        <v xml:space="preserve"> </v>
      </c>
      <c r="R151" s="32"/>
      <c r="S151" s="32"/>
      <c r="T151" s="53"/>
      <c r="U151" s="54" t="str">
        <f>IFERROR(VLOOKUP(December[[#This Row],[Drug Name2]],'Data Options'!$R$1:$S$100,2,FALSE), " ")</f>
        <v xml:space="preserve"> </v>
      </c>
      <c r="V151" s="32"/>
      <c r="W151" s="32"/>
      <c r="X151" s="53"/>
      <c r="Y151" s="54" t="str">
        <f>IFERROR(VLOOKUP(December[[#This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54" t="str">
        <f>IFERROR(VLOOKUP(December[[#This Row],[Drug Name4]],'Data Options'!$R$1:$S$100,2,FALSE), " ")</f>
        <v xml:space="preserve"> </v>
      </c>
      <c r="AI151" s="32"/>
      <c r="AJ151" s="32"/>
      <c r="AK151" s="53"/>
      <c r="AL151" s="54" t="str">
        <f>IFERROR(VLOOKUP(December[[#This Row],[Drug Name5]],'Data Options'!$R$1:$S$100,2,FALSE), " ")</f>
        <v xml:space="preserve"> </v>
      </c>
      <c r="AM151" s="32"/>
      <c r="AN151" s="32"/>
      <c r="AO151" s="53"/>
      <c r="AP151" s="54" t="str">
        <f>IFERROR(VLOOKUP(December[[#This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54" t="str">
        <f>IFERROR(VLOOKUP(December[[#This Row],[Drug Name7]],'Data Options'!$R$1:$S$100,2,FALSE), " ")</f>
        <v xml:space="preserve"> </v>
      </c>
      <c r="AZ151" s="32"/>
      <c r="BA151" s="32"/>
      <c r="BB151" s="53"/>
      <c r="BC151" s="54" t="str">
        <f>IFERROR(VLOOKUP(December[[#This Row],[Drug Name8]],'Data Options'!$R$1:$S$100,2,FALSE), " ")</f>
        <v xml:space="preserve"> </v>
      </c>
      <c r="BD151" s="32"/>
      <c r="BE151" s="32"/>
      <c r="BF151" s="53"/>
      <c r="BG151" s="54" t="str">
        <f>IFERROR(VLOOKUP(December[[#This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54" t="str">
        <f>IFERROR(VLOOKUP(December[[#This Row],[Drug Name]],'Data Options'!$R$1:$S$100,2,FALSE), " ")</f>
        <v xml:space="preserve"> </v>
      </c>
      <c r="R152" s="32"/>
      <c r="S152" s="32"/>
      <c r="T152" s="53"/>
      <c r="U152" s="54" t="str">
        <f>IFERROR(VLOOKUP(December[[#This Row],[Drug Name2]],'Data Options'!$R$1:$S$100,2,FALSE), " ")</f>
        <v xml:space="preserve"> </v>
      </c>
      <c r="V152" s="32"/>
      <c r="W152" s="32"/>
      <c r="X152" s="53"/>
      <c r="Y152" s="54" t="str">
        <f>IFERROR(VLOOKUP(December[[#This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54" t="str">
        <f>IFERROR(VLOOKUP(December[[#This Row],[Drug Name4]],'Data Options'!$R$1:$S$100,2,FALSE), " ")</f>
        <v xml:space="preserve"> </v>
      </c>
      <c r="AI152" s="32"/>
      <c r="AJ152" s="32"/>
      <c r="AK152" s="53"/>
      <c r="AL152" s="54" t="str">
        <f>IFERROR(VLOOKUP(December[[#This Row],[Drug Name5]],'Data Options'!$R$1:$S$100,2,FALSE), " ")</f>
        <v xml:space="preserve"> </v>
      </c>
      <c r="AM152" s="32"/>
      <c r="AN152" s="32"/>
      <c r="AO152" s="53"/>
      <c r="AP152" s="54" t="str">
        <f>IFERROR(VLOOKUP(December[[#This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54" t="str">
        <f>IFERROR(VLOOKUP(December[[#This Row],[Drug Name7]],'Data Options'!$R$1:$S$100,2,FALSE), " ")</f>
        <v xml:space="preserve"> </v>
      </c>
      <c r="AZ152" s="32"/>
      <c r="BA152" s="32"/>
      <c r="BB152" s="53"/>
      <c r="BC152" s="54" t="str">
        <f>IFERROR(VLOOKUP(December[[#This Row],[Drug Name8]],'Data Options'!$R$1:$S$100,2,FALSE), " ")</f>
        <v xml:space="preserve"> </v>
      </c>
      <c r="BD152" s="32"/>
      <c r="BE152" s="32"/>
      <c r="BF152" s="53"/>
      <c r="BG152" s="54" t="str">
        <f>IFERROR(VLOOKUP(December[[#This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54" t="str">
        <f>IFERROR(VLOOKUP(December[[#This Row],[Drug Name]],'Data Options'!$R$1:$S$100,2,FALSE), " ")</f>
        <v xml:space="preserve"> </v>
      </c>
      <c r="R153" s="32"/>
      <c r="S153" s="32"/>
      <c r="T153" s="53"/>
      <c r="U153" s="54" t="str">
        <f>IFERROR(VLOOKUP(December[[#This Row],[Drug Name2]],'Data Options'!$R$1:$S$100,2,FALSE), " ")</f>
        <v xml:space="preserve"> </v>
      </c>
      <c r="V153" s="32"/>
      <c r="W153" s="32"/>
      <c r="X153" s="53"/>
      <c r="Y153" s="54" t="str">
        <f>IFERROR(VLOOKUP(December[[#This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54" t="str">
        <f>IFERROR(VLOOKUP(December[[#This Row],[Drug Name4]],'Data Options'!$R$1:$S$100,2,FALSE), " ")</f>
        <v xml:space="preserve"> </v>
      </c>
      <c r="AI153" s="32"/>
      <c r="AJ153" s="32"/>
      <c r="AK153" s="53"/>
      <c r="AL153" s="54" t="str">
        <f>IFERROR(VLOOKUP(December[[#This Row],[Drug Name5]],'Data Options'!$R$1:$S$100,2,FALSE), " ")</f>
        <v xml:space="preserve"> </v>
      </c>
      <c r="AM153" s="32"/>
      <c r="AN153" s="32"/>
      <c r="AO153" s="53"/>
      <c r="AP153" s="54" t="str">
        <f>IFERROR(VLOOKUP(December[[#This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54" t="str">
        <f>IFERROR(VLOOKUP(December[[#This Row],[Drug Name7]],'Data Options'!$R$1:$S$100,2,FALSE), " ")</f>
        <v xml:space="preserve"> </v>
      </c>
      <c r="AZ153" s="32"/>
      <c r="BA153" s="32"/>
      <c r="BB153" s="53"/>
      <c r="BC153" s="54" t="str">
        <f>IFERROR(VLOOKUP(December[[#This Row],[Drug Name8]],'Data Options'!$R$1:$S$100,2,FALSE), " ")</f>
        <v xml:space="preserve"> </v>
      </c>
      <c r="BD153" s="32"/>
      <c r="BE153" s="32"/>
      <c r="BF153" s="53"/>
      <c r="BG153" s="54" t="str">
        <f>IFERROR(VLOOKUP(December[[#This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54" t="str">
        <f>IFERROR(VLOOKUP(December[[#This Row],[Drug Name]],'Data Options'!$R$1:$S$100,2,FALSE), " ")</f>
        <v xml:space="preserve"> </v>
      </c>
      <c r="R154" s="32"/>
      <c r="S154" s="32"/>
      <c r="T154" s="53"/>
      <c r="U154" s="54" t="str">
        <f>IFERROR(VLOOKUP(December[[#This Row],[Drug Name2]],'Data Options'!$R$1:$S$100,2,FALSE), " ")</f>
        <v xml:space="preserve"> </v>
      </c>
      <c r="V154" s="32"/>
      <c r="W154" s="32"/>
      <c r="X154" s="53"/>
      <c r="Y154" s="54" t="str">
        <f>IFERROR(VLOOKUP(December[[#This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54" t="str">
        <f>IFERROR(VLOOKUP(December[[#This Row],[Drug Name4]],'Data Options'!$R$1:$S$100,2,FALSE), " ")</f>
        <v xml:space="preserve"> </v>
      </c>
      <c r="AI154" s="32"/>
      <c r="AJ154" s="32"/>
      <c r="AK154" s="53"/>
      <c r="AL154" s="54" t="str">
        <f>IFERROR(VLOOKUP(December[[#This Row],[Drug Name5]],'Data Options'!$R$1:$S$100,2,FALSE), " ")</f>
        <v xml:space="preserve"> </v>
      </c>
      <c r="AM154" s="32"/>
      <c r="AN154" s="32"/>
      <c r="AO154" s="53"/>
      <c r="AP154" s="54" t="str">
        <f>IFERROR(VLOOKUP(December[[#This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54" t="str">
        <f>IFERROR(VLOOKUP(December[[#This Row],[Drug Name7]],'Data Options'!$R$1:$S$100,2,FALSE), " ")</f>
        <v xml:space="preserve"> </v>
      </c>
      <c r="AZ154" s="32"/>
      <c r="BA154" s="32"/>
      <c r="BB154" s="53"/>
      <c r="BC154" s="54" t="str">
        <f>IFERROR(VLOOKUP(December[[#This Row],[Drug Name8]],'Data Options'!$R$1:$S$100,2,FALSE), " ")</f>
        <v xml:space="preserve"> </v>
      </c>
      <c r="BD154" s="32"/>
      <c r="BE154" s="32"/>
      <c r="BF154" s="53"/>
      <c r="BG154" s="54" t="str">
        <f>IFERROR(VLOOKUP(December[[#This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54" t="str">
        <f>IFERROR(VLOOKUP(December[[#This Row],[Drug Name]],'Data Options'!$R$1:$S$100,2,FALSE), " ")</f>
        <v xml:space="preserve"> </v>
      </c>
      <c r="R155" s="32"/>
      <c r="S155" s="32"/>
      <c r="T155" s="53"/>
      <c r="U155" s="54" t="str">
        <f>IFERROR(VLOOKUP(December[[#This Row],[Drug Name2]],'Data Options'!$R$1:$S$100,2,FALSE), " ")</f>
        <v xml:space="preserve"> </v>
      </c>
      <c r="V155" s="32"/>
      <c r="W155" s="32"/>
      <c r="X155" s="53"/>
      <c r="Y155" s="54" t="str">
        <f>IFERROR(VLOOKUP(December[[#This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54" t="str">
        <f>IFERROR(VLOOKUP(December[[#This Row],[Drug Name4]],'Data Options'!$R$1:$S$100,2,FALSE), " ")</f>
        <v xml:space="preserve"> </v>
      </c>
      <c r="AI155" s="32"/>
      <c r="AJ155" s="32"/>
      <c r="AK155" s="53"/>
      <c r="AL155" s="54" t="str">
        <f>IFERROR(VLOOKUP(December[[#This Row],[Drug Name5]],'Data Options'!$R$1:$S$100,2,FALSE), " ")</f>
        <v xml:space="preserve"> </v>
      </c>
      <c r="AM155" s="32"/>
      <c r="AN155" s="32"/>
      <c r="AO155" s="53"/>
      <c r="AP155" s="54" t="str">
        <f>IFERROR(VLOOKUP(December[[#This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54" t="str">
        <f>IFERROR(VLOOKUP(December[[#This Row],[Drug Name7]],'Data Options'!$R$1:$S$100,2,FALSE), " ")</f>
        <v xml:space="preserve"> </v>
      </c>
      <c r="AZ155" s="32"/>
      <c r="BA155" s="32"/>
      <c r="BB155" s="53"/>
      <c r="BC155" s="54" t="str">
        <f>IFERROR(VLOOKUP(December[[#This Row],[Drug Name8]],'Data Options'!$R$1:$S$100,2,FALSE), " ")</f>
        <v xml:space="preserve"> </v>
      </c>
      <c r="BD155" s="32"/>
      <c r="BE155" s="32"/>
      <c r="BF155" s="53"/>
      <c r="BG155" s="54" t="str">
        <f>IFERROR(VLOOKUP(December[[#This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54" t="str">
        <f>IFERROR(VLOOKUP(December[[#This Row],[Drug Name]],'Data Options'!$R$1:$S$100,2,FALSE), " ")</f>
        <v xml:space="preserve"> </v>
      </c>
      <c r="R156" s="32"/>
      <c r="S156" s="32"/>
      <c r="T156" s="53"/>
      <c r="U156" s="54" t="str">
        <f>IFERROR(VLOOKUP(December[[#This Row],[Drug Name2]],'Data Options'!$R$1:$S$100,2,FALSE), " ")</f>
        <v xml:space="preserve"> </v>
      </c>
      <c r="V156" s="32"/>
      <c r="W156" s="32"/>
      <c r="X156" s="53"/>
      <c r="Y156" s="54" t="str">
        <f>IFERROR(VLOOKUP(December[[#This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54" t="str">
        <f>IFERROR(VLOOKUP(December[[#This Row],[Drug Name4]],'Data Options'!$R$1:$S$100,2,FALSE), " ")</f>
        <v xml:space="preserve"> </v>
      </c>
      <c r="AI156" s="32"/>
      <c r="AJ156" s="32"/>
      <c r="AK156" s="53"/>
      <c r="AL156" s="54" t="str">
        <f>IFERROR(VLOOKUP(December[[#This Row],[Drug Name5]],'Data Options'!$R$1:$S$100,2,FALSE), " ")</f>
        <v xml:space="preserve"> </v>
      </c>
      <c r="AM156" s="32"/>
      <c r="AN156" s="32"/>
      <c r="AO156" s="53"/>
      <c r="AP156" s="54" t="str">
        <f>IFERROR(VLOOKUP(December[[#This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54" t="str">
        <f>IFERROR(VLOOKUP(December[[#This Row],[Drug Name7]],'Data Options'!$R$1:$S$100,2,FALSE), " ")</f>
        <v xml:space="preserve"> </v>
      </c>
      <c r="AZ156" s="32"/>
      <c r="BA156" s="32"/>
      <c r="BB156" s="53"/>
      <c r="BC156" s="54" t="str">
        <f>IFERROR(VLOOKUP(December[[#This Row],[Drug Name8]],'Data Options'!$R$1:$S$100,2,FALSE), " ")</f>
        <v xml:space="preserve"> </v>
      </c>
      <c r="BD156" s="32"/>
      <c r="BE156" s="32"/>
      <c r="BF156" s="53"/>
      <c r="BG156" s="54" t="str">
        <f>IFERROR(VLOOKUP(December[[#This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54" t="str">
        <f>IFERROR(VLOOKUP(December[[#This Row],[Drug Name]],'Data Options'!$R$1:$S$100,2,FALSE), " ")</f>
        <v xml:space="preserve"> </v>
      </c>
      <c r="R157" s="32"/>
      <c r="S157" s="32"/>
      <c r="T157" s="53"/>
      <c r="U157" s="54" t="str">
        <f>IFERROR(VLOOKUP(December[[#This Row],[Drug Name2]],'Data Options'!$R$1:$S$100,2,FALSE), " ")</f>
        <v xml:space="preserve"> </v>
      </c>
      <c r="V157" s="32"/>
      <c r="W157" s="32"/>
      <c r="X157" s="53"/>
      <c r="Y157" s="54" t="str">
        <f>IFERROR(VLOOKUP(December[[#This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54" t="str">
        <f>IFERROR(VLOOKUP(December[[#This Row],[Drug Name4]],'Data Options'!$R$1:$S$100,2,FALSE), " ")</f>
        <v xml:space="preserve"> </v>
      </c>
      <c r="AI157" s="32"/>
      <c r="AJ157" s="32"/>
      <c r="AK157" s="53"/>
      <c r="AL157" s="54" t="str">
        <f>IFERROR(VLOOKUP(December[[#This Row],[Drug Name5]],'Data Options'!$R$1:$S$100,2,FALSE), " ")</f>
        <v xml:space="preserve"> </v>
      </c>
      <c r="AM157" s="32"/>
      <c r="AN157" s="32"/>
      <c r="AO157" s="53"/>
      <c r="AP157" s="54" t="str">
        <f>IFERROR(VLOOKUP(December[[#This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54" t="str">
        <f>IFERROR(VLOOKUP(December[[#This Row],[Drug Name7]],'Data Options'!$R$1:$S$100,2,FALSE), " ")</f>
        <v xml:space="preserve"> </v>
      </c>
      <c r="AZ157" s="32"/>
      <c r="BA157" s="32"/>
      <c r="BB157" s="53"/>
      <c r="BC157" s="54" t="str">
        <f>IFERROR(VLOOKUP(December[[#This Row],[Drug Name8]],'Data Options'!$R$1:$S$100,2,FALSE), " ")</f>
        <v xml:space="preserve"> </v>
      </c>
      <c r="BD157" s="32"/>
      <c r="BE157" s="32"/>
      <c r="BF157" s="53"/>
      <c r="BG157" s="54" t="str">
        <f>IFERROR(VLOOKUP(December[[#This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54" t="str">
        <f>IFERROR(VLOOKUP(December[[#This Row],[Drug Name]],'Data Options'!$R$1:$S$100,2,FALSE), " ")</f>
        <v xml:space="preserve"> </v>
      </c>
      <c r="R158" s="32"/>
      <c r="S158" s="32"/>
      <c r="T158" s="53"/>
      <c r="U158" s="54" t="str">
        <f>IFERROR(VLOOKUP(December[[#This Row],[Drug Name2]],'Data Options'!$R$1:$S$100,2,FALSE), " ")</f>
        <v xml:space="preserve"> </v>
      </c>
      <c r="V158" s="32"/>
      <c r="W158" s="32"/>
      <c r="X158" s="53"/>
      <c r="Y158" s="54" t="str">
        <f>IFERROR(VLOOKUP(December[[#This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54" t="str">
        <f>IFERROR(VLOOKUP(December[[#This Row],[Drug Name4]],'Data Options'!$R$1:$S$100,2,FALSE), " ")</f>
        <v xml:space="preserve"> </v>
      </c>
      <c r="AI158" s="32"/>
      <c r="AJ158" s="32"/>
      <c r="AK158" s="53"/>
      <c r="AL158" s="54" t="str">
        <f>IFERROR(VLOOKUP(December[[#This Row],[Drug Name5]],'Data Options'!$R$1:$S$100,2,FALSE), " ")</f>
        <v xml:space="preserve"> </v>
      </c>
      <c r="AM158" s="32"/>
      <c r="AN158" s="32"/>
      <c r="AO158" s="53"/>
      <c r="AP158" s="54" t="str">
        <f>IFERROR(VLOOKUP(December[[#This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54" t="str">
        <f>IFERROR(VLOOKUP(December[[#This Row],[Drug Name7]],'Data Options'!$R$1:$S$100,2,FALSE), " ")</f>
        <v xml:space="preserve"> </v>
      </c>
      <c r="AZ158" s="32"/>
      <c r="BA158" s="32"/>
      <c r="BB158" s="53"/>
      <c r="BC158" s="54" t="str">
        <f>IFERROR(VLOOKUP(December[[#This Row],[Drug Name8]],'Data Options'!$R$1:$S$100,2,FALSE), " ")</f>
        <v xml:space="preserve"> </v>
      </c>
      <c r="BD158" s="32"/>
      <c r="BE158" s="32"/>
      <c r="BF158" s="53"/>
      <c r="BG158" s="54" t="str">
        <f>IFERROR(VLOOKUP(December[[#This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54" t="str">
        <f>IFERROR(VLOOKUP(December[[#This Row],[Drug Name]],'Data Options'!$R$1:$S$100,2,FALSE), " ")</f>
        <v xml:space="preserve"> </v>
      </c>
      <c r="R159" s="32"/>
      <c r="S159" s="32"/>
      <c r="T159" s="53"/>
      <c r="U159" s="54" t="str">
        <f>IFERROR(VLOOKUP(December[[#This Row],[Drug Name2]],'Data Options'!$R$1:$S$100,2,FALSE), " ")</f>
        <v xml:space="preserve"> </v>
      </c>
      <c r="V159" s="32"/>
      <c r="W159" s="32"/>
      <c r="X159" s="53"/>
      <c r="Y159" s="54" t="str">
        <f>IFERROR(VLOOKUP(December[[#This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54" t="str">
        <f>IFERROR(VLOOKUP(December[[#This Row],[Drug Name4]],'Data Options'!$R$1:$S$100,2,FALSE), " ")</f>
        <v xml:space="preserve"> </v>
      </c>
      <c r="AI159" s="32"/>
      <c r="AJ159" s="32"/>
      <c r="AK159" s="53"/>
      <c r="AL159" s="54" t="str">
        <f>IFERROR(VLOOKUP(December[[#This Row],[Drug Name5]],'Data Options'!$R$1:$S$100,2,FALSE), " ")</f>
        <v xml:space="preserve"> </v>
      </c>
      <c r="AM159" s="32"/>
      <c r="AN159" s="32"/>
      <c r="AO159" s="53"/>
      <c r="AP159" s="54" t="str">
        <f>IFERROR(VLOOKUP(December[[#This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54" t="str">
        <f>IFERROR(VLOOKUP(December[[#This Row],[Drug Name7]],'Data Options'!$R$1:$S$100,2,FALSE), " ")</f>
        <v xml:space="preserve"> </v>
      </c>
      <c r="AZ159" s="32"/>
      <c r="BA159" s="32"/>
      <c r="BB159" s="53"/>
      <c r="BC159" s="54" t="str">
        <f>IFERROR(VLOOKUP(December[[#This Row],[Drug Name8]],'Data Options'!$R$1:$S$100,2,FALSE), " ")</f>
        <v xml:space="preserve"> </v>
      </c>
      <c r="BD159" s="32"/>
      <c r="BE159" s="32"/>
      <c r="BF159" s="53"/>
      <c r="BG159" s="54" t="str">
        <f>IFERROR(VLOOKUP(December[[#This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54" t="str">
        <f>IFERROR(VLOOKUP(December[[#This Row],[Drug Name]],'Data Options'!$R$1:$S$100,2,FALSE), " ")</f>
        <v xml:space="preserve"> </v>
      </c>
      <c r="R160" s="32"/>
      <c r="S160" s="32"/>
      <c r="T160" s="53"/>
      <c r="U160" s="54" t="str">
        <f>IFERROR(VLOOKUP(December[[#This Row],[Drug Name2]],'Data Options'!$R$1:$S$100,2,FALSE), " ")</f>
        <v xml:space="preserve"> </v>
      </c>
      <c r="V160" s="32"/>
      <c r="W160" s="32"/>
      <c r="X160" s="53"/>
      <c r="Y160" s="54" t="str">
        <f>IFERROR(VLOOKUP(December[[#This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54" t="str">
        <f>IFERROR(VLOOKUP(December[[#This Row],[Drug Name4]],'Data Options'!$R$1:$S$100,2,FALSE), " ")</f>
        <v xml:space="preserve"> </v>
      </c>
      <c r="AI160" s="32"/>
      <c r="AJ160" s="32"/>
      <c r="AK160" s="53"/>
      <c r="AL160" s="54" t="str">
        <f>IFERROR(VLOOKUP(December[[#This Row],[Drug Name5]],'Data Options'!$R$1:$S$100,2,FALSE), " ")</f>
        <v xml:space="preserve"> </v>
      </c>
      <c r="AM160" s="32"/>
      <c r="AN160" s="32"/>
      <c r="AO160" s="53"/>
      <c r="AP160" s="54" t="str">
        <f>IFERROR(VLOOKUP(December[[#This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54" t="str">
        <f>IFERROR(VLOOKUP(December[[#This Row],[Drug Name7]],'Data Options'!$R$1:$S$100,2,FALSE), " ")</f>
        <v xml:space="preserve"> </v>
      </c>
      <c r="AZ160" s="32"/>
      <c r="BA160" s="32"/>
      <c r="BB160" s="53"/>
      <c r="BC160" s="54" t="str">
        <f>IFERROR(VLOOKUP(December[[#This Row],[Drug Name8]],'Data Options'!$R$1:$S$100,2,FALSE), " ")</f>
        <v xml:space="preserve"> </v>
      </c>
      <c r="BD160" s="32"/>
      <c r="BE160" s="32"/>
      <c r="BF160" s="53"/>
      <c r="BG160" s="54" t="str">
        <f>IFERROR(VLOOKUP(December[[#This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54" t="str">
        <f>IFERROR(VLOOKUP(December[[#This Row],[Drug Name]],'Data Options'!$R$1:$S$100,2,FALSE), " ")</f>
        <v xml:space="preserve"> </v>
      </c>
      <c r="R161" s="32"/>
      <c r="S161" s="32"/>
      <c r="T161" s="53"/>
      <c r="U161" s="54" t="str">
        <f>IFERROR(VLOOKUP(December[[#This Row],[Drug Name2]],'Data Options'!$R$1:$S$100,2,FALSE), " ")</f>
        <v xml:space="preserve"> </v>
      </c>
      <c r="V161" s="32"/>
      <c r="W161" s="32"/>
      <c r="X161" s="53"/>
      <c r="Y161" s="54" t="str">
        <f>IFERROR(VLOOKUP(December[[#This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54" t="str">
        <f>IFERROR(VLOOKUP(December[[#This Row],[Drug Name4]],'Data Options'!$R$1:$S$100,2,FALSE), " ")</f>
        <v xml:space="preserve"> </v>
      </c>
      <c r="AI161" s="32"/>
      <c r="AJ161" s="32"/>
      <c r="AK161" s="53"/>
      <c r="AL161" s="54" t="str">
        <f>IFERROR(VLOOKUP(December[[#This Row],[Drug Name5]],'Data Options'!$R$1:$S$100,2,FALSE), " ")</f>
        <v xml:space="preserve"> </v>
      </c>
      <c r="AM161" s="32"/>
      <c r="AN161" s="32"/>
      <c r="AO161" s="53"/>
      <c r="AP161" s="54" t="str">
        <f>IFERROR(VLOOKUP(December[[#This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54" t="str">
        <f>IFERROR(VLOOKUP(December[[#This Row],[Drug Name7]],'Data Options'!$R$1:$S$100,2,FALSE), " ")</f>
        <v xml:space="preserve"> </v>
      </c>
      <c r="AZ161" s="32"/>
      <c r="BA161" s="32"/>
      <c r="BB161" s="53"/>
      <c r="BC161" s="54" t="str">
        <f>IFERROR(VLOOKUP(December[[#This Row],[Drug Name8]],'Data Options'!$R$1:$S$100,2,FALSE), " ")</f>
        <v xml:space="preserve"> </v>
      </c>
      <c r="BD161" s="32"/>
      <c r="BE161" s="32"/>
      <c r="BF161" s="53"/>
      <c r="BG161" s="54" t="str">
        <f>IFERROR(VLOOKUP(December[[#This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54" t="str">
        <f>IFERROR(VLOOKUP(December[[#This Row],[Drug Name]],'Data Options'!$R$1:$S$100,2,FALSE), " ")</f>
        <v xml:space="preserve"> </v>
      </c>
      <c r="R162" s="32"/>
      <c r="S162" s="32"/>
      <c r="T162" s="53"/>
      <c r="U162" s="54" t="str">
        <f>IFERROR(VLOOKUP(December[[#This Row],[Drug Name2]],'Data Options'!$R$1:$S$100,2,FALSE), " ")</f>
        <v xml:space="preserve"> </v>
      </c>
      <c r="V162" s="32"/>
      <c r="W162" s="32"/>
      <c r="X162" s="53"/>
      <c r="Y162" s="54" t="str">
        <f>IFERROR(VLOOKUP(December[[#This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54" t="str">
        <f>IFERROR(VLOOKUP(December[[#This Row],[Drug Name4]],'Data Options'!$R$1:$S$100,2,FALSE), " ")</f>
        <v xml:space="preserve"> </v>
      </c>
      <c r="AI162" s="32"/>
      <c r="AJ162" s="32"/>
      <c r="AK162" s="53"/>
      <c r="AL162" s="54" t="str">
        <f>IFERROR(VLOOKUP(December[[#This Row],[Drug Name5]],'Data Options'!$R$1:$S$100,2,FALSE), " ")</f>
        <v xml:space="preserve"> </v>
      </c>
      <c r="AM162" s="32"/>
      <c r="AN162" s="32"/>
      <c r="AO162" s="53"/>
      <c r="AP162" s="54" t="str">
        <f>IFERROR(VLOOKUP(December[[#This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54" t="str">
        <f>IFERROR(VLOOKUP(December[[#This Row],[Drug Name7]],'Data Options'!$R$1:$S$100,2,FALSE), " ")</f>
        <v xml:space="preserve"> </v>
      </c>
      <c r="AZ162" s="32"/>
      <c r="BA162" s="32"/>
      <c r="BB162" s="53"/>
      <c r="BC162" s="54" t="str">
        <f>IFERROR(VLOOKUP(December[[#This Row],[Drug Name8]],'Data Options'!$R$1:$S$100,2,FALSE), " ")</f>
        <v xml:space="preserve"> </v>
      </c>
      <c r="BD162" s="32"/>
      <c r="BE162" s="32"/>
      <c r="BF162" s="53"/>
      <c r="BG162" s="54" t="str">
        <f>IFERROR(VLOOKUP(December[[#This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54" t="str">
        <f>IFERROR(VLOOKUP(December[[#This Row],[Drug Name]],'Data Options'!$R$1:$S$100,2,FALSE), " ")</f>
        <v xml:space="preserve"> </v>
      </c>
      <c r="R163" s="32"/>
      <c r="S163" s="32"/>
      <c r="T163" s="53"/>
      <c r="U163" s="54" t="str">
        <f>IFERROR(VLOOKUP(December[[#This Row],[Drug Name2]],'Data Options'!$R$1:$S$100,2,FALSE), " ")</f>
        <v xml:space="preserve"> </v>
      </c>
      <c r="V163" s="32"/>
      <c r="W163" s="32"/>
      <c r="X163" s="53"/>
      <c r="Y163" s="54" t="str">
        <f>IFERROR(VLOOKUP(December[[#This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54" t="str">
        <f>IFERROR(VLOOKUP(December[[#This Row],[Drug Name4]],'Data Options'!$R$1:$S$100,2,FALSE), " ")</f>
        <v xml:space="preserve"> </v>
      </c>
      <c r="AI163" s="32"/>
      <c r="AJ163" s="32"/>
      <c r="AK163" s="53"/>
      <c r="AL163" s="54" t="str">
        <f>IFERROR(VLOOKUP(December[[#This Row],[Drug Name5]],'Data Options'!$R$1:$S$100,2,FALSE), " ")</f>
        <v xml:space="preserve"> </v>
      </c>
      <c r="AM163" s="32"/>
      <c r="AN163" s="32"/>
      <c r="AO163" s="53"/>
      <c r="AP163" s="54" t="str">
        <f>IFERROR(VLOOKUP(December[[#This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54" t="str">
        <f>IFERROR(VLOOKUP(December[[#This Row],[Drug Name7]],'Data Options'!$R$1:$S$100,2,FALSE), " ")</f>
        <v xml:space="preserve"> </v>
      </c>
      <c r="AZ163" s="32"/>
      <c r="BA163" s="32"/>
      <c r="BB163" s="53"/>
      <c r="BC163" s="54" t="str">
        <f>IFERROR(VLOOKUP(December[[#This Row],[Drug Name8]],'Data Options'!$R$1:$S$100,2,FALSE), " ")</f>
        <v xml:space="preserve"> </v>
      </c>
      <c r="BD163" s="32"/>
      <c r="BE163" s="32"/>
      <c r="BF163" s="53"/>
      <c r="BG163" s="54" t="str">
        <f>IFERROR(VLOOKUP(December[[#This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54" t="str">
        <f>IFERROR(VLOOKUP(December[[#This Row],[Drug Name]],'Data Options'!$R$1:$S$100,2,FALSE), " ")</f>
        <v xml:space="preserve"> </v>
      </c>
      <c r="R164" s="32"/>
      <c r="S164" s="32"/>
      <c r="T164" s="53"/>
      <c r="U164" s="54" t="str">
        <f>IFERROR(VLOOKUP(December[[#This Row],[Drug Name2]],'Data Options'!$R$1:$S$100,2,FALSE), " ")</f>
        <v xml:space="preserve"> </v>
      </c>
      <c r="V164" s="32"/>
      <c r="W164" s="32"/>
      <c r="X164" s="53"/>
      <c r="Y164" s="54" t="str">
        <f>IFERROR(VLOOKUP(December[[#This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54" t="str">
        <f>IFERROR(VLOOKUP(December[[#This Row],[Drug Name4]],'Data Options'!$R$1:$S$100,2,FALSE), " ")</f>
        <v xml:space="preserve"> </v>
      </c>
      <c r="AI164" s="32"/>
      <c r="AJ164" s="32"/>
      <c r="AK164" s="53"/>
      <c r="AL164" s="54" t="str">
        <f>IFERROR(VLOOKUP(December[[#This Row],[Drug Name5]],'Data Options'!$R$1:$S$100,2,FALSE), " ")</f>
        <v xml:space="preserve"> </v>
      </c>
      <c r="AM164" s="32"/>
      <c r="AN164" s="32"/>
      <c r="AO164" s="53"/>
      <c r="AP164" s="54" t="str">
        <f>IFERROR(VLOOKUP(December[[#This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54" t="str">
        <f>IFERROR(VLOOKUP(December[[#This Row],[Drug Name7]],'Data Options'!$R$1:$S$100,2,FALSE), " ")</f>
        <v xml:space="preserve"> </v>
      </c>
      <c r="AZ164" s="32"/>
      <c r="BA164" s="32"/>
      <c r="BB164" s="53"/>
      <c r="BC164" s="54" t="str">
        <f>IFERROR(VLOOKUP(December[[#This Row],[Drug Name8]],'Data Options'!$R$1:$S$100,2,FALSE), " ")</f>
        <v xml:space="preserve"> </v>
      </c>
      <c r="BD164" s="32"/>
      <c r="BE164" s="32"/>
      <c r="BF164" s="53"/>
      <c r="BG164" s="54" t="str">
        <f>IFERROR(VLOOKUP(December[[#This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54" t="str">
        <f>IFERROR(VLOOKUP(December[[#This Row],[Drug Name]],'Data Options'!$R$1:$S$100,2,FALSE), " ")</f>
        <v xml:space="preserve"> </v>
      </c>
      <c r="R165" s="32"/>
      <c r="S165" s="32"/>
      <c r="T165" s="53"/>
      <c r="U165" s="54" t="str">
        <f>IFERROR(VLOOKUP(December[[#This Row],[Drug Name2]],'Data Options'!$R$1:$S$100,2,FALSE), " ")</f>
        <v xml:space="preserve"> </v>
      </c>
      <c r="V165" s="32"/>
      <c r="W165" s="32"/>
      <c r="X165" s="53"/>
      <c r="Y165" s="54" t="str">
        <f>IFERROR(VLOOKUP(December[[#This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54" t="str">
        <f>IFERROR(VLOOKUP(December[[#This Row],[Drug Name4]],'Data Options'!$R$1:$S$100,2,FALSE), " ")</f>
        <v xml:space="preserve"> </v>
      </c>
      <c r="AI165" s="32"/>
      <c r="AJ165" s="32"/>
      <c r="AK165" s="53"/>
      <c r="AL165" s="54" t="str">
        <f>IFERROR(VLOOKUP(December[[#This Row],[Drug Name5]],'Data Options'!$R$1:$S$100,2,FALSE), " ")</f>
        <v xml:space="preserve"> </v>
      </c>
      <c r="AM165" s="32"/>
      <c r="AN165" s="32"/>
      <c r="AO165" s="53"/>
      <c r="AP165" s="54" t="str">
        <f>IFERROR(VLOOKUP(December[[#This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54" t="str">
        <f>IFERROR(VLOOKUP(December[[#This Row],[Drug Name7]],'Data Options'!$R$1:$S$100,2,FALSE), " ")</f>
        <v xml:space="preserve"> </v>
      </c>
      <c r="AZ165" s="32"/>
      <c r="BA165" s="32"/>
      <c r="BB165" s="53"/>
      <c r="BC165" s="54" t="str">
        <f>IFERROR(VLOOKUP(December[[#This Row],[Drug Name8]],'Data Options'!$R$1:$S$100,2,FALSE), " ")</f>
        <v xml:space="preserve"> </v>
      </c>
      <c r="BD165" s="32"/>
      <c r="BE165" s="32"/>
      <c r="BF165" s="53"/>
      <c r="BG165" s="54" t="str">
        <f>IFERROR(VLOOKUP(December[[#This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54" t="str">
        <f>IFERROR(VLOOKUP(December[[#This Row],[Drug Name]],'Data Options'!$R$1:$S$100,2,FALSE), " ")</f>
        <v xml:space="preserve"> </v>
      </c>
      <c r="R166" s="32"/>
      <c r="S166" s="32"/>
      <c r="T166" s="53"/>
      <c r="U166" s="54" t="str">
        <f>IFERROR(VLOOKUP(December[[#This Row],[Drug Name2]],'Data Options'!$R$1:$S$100,2,FALSE), " ")</f>
        <v xml:space="preserve"> </v>
      </c>
      <c r="V166" s="32"/>
      <c r="W166" s="32"/>
      <c r="X166" s="53"/>
      <c r="Y166" s="54" t="str">
        <f>IFERROR(VLOOKUP(December[[#This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54" t="str">
        <f>IFERROR(VLOOKUP(December[[#This Row],[Drug Name4]],'Data Options'!$R$1:$S$100,2,FALSE), " ")</f>
        <v xml:space="preserve"> </v>
      </c>
      <c r="AI166" s="32"/>
      <c r="AJ166" s="32"/>
      <c r="AK166" s="53"/>
      <c r="AL166" s="54" t="str">
        <f>IFERROR(VLOOKUP(December[[#This Row],[Drug Name5]],'Data Options'!$R$1:$S$100,2,FALSE), " ")</f>
        <v xml:space="preserve"> </v>
      </c>
      <c r="AM166" s="32"/>
      <c r="AN166" s="32"/>
      <c r="AO166" s="53"/>
      <c r="AP166" s="54" t="str">
        <f>IFERROR(VLOOKUP(December[[#This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54" t="str">
        <f>IFERROR(VLOOKUP(December[[#This Row],[Drug Name7]],'Data Options'!$R$1:$S$100,2,FALSE), " ")</f>
        <v xml:space="preserve"> </v>
      </c>
      <c r="AZ166" s="32"/>
      <c r="BA166" s="32"/>
      <c r="BB166" s="53"/>
      <c r="BC166" s="54" t="str">
        <f>IFERROR(VLOOKUP(December[[#This Row],[Drug Name8]],'Data Options'!$R$1:$S$100,2,FALSE), " ")</f>
        <v xml:space="preserve"> </v>
      </c>
      <c r="BD166" s="32"/>
      <c r="BE166" s="32"/>
      <c r="BF166" s="53"/>
      <c r="BG166" s="54" t="str">
        <f>IFERROR(VLOOKUP(December[[#This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54" t="str">
        <f>IFERROR(VLOOKUP(December[[#This Row],[Drug Name]],'Data Options'!$R$1:$S$100,2,FALSE), " ")</f>
        <v xml:space="preserve"> </v>
      </c>
      <c r="R167" s="32"/>
      <c r="S167" s="32"/>
      <c r="T167" s="53"/>
      <c r="U167" s="54" t="str">
        <f>IFERROR(VLOOKUP(December[[#This Row],[Drug Name2]],'Data Options'!$R$1:$S$100,2,FALSE), " ")</f>
        <v xml:space="preserve"> </v>
      </c>
      <c r="V167" s="32"/>
      <c r="W167" s="32"/>
      <c r="X167" s="53"/>
      <c r="Y167" s="54" t="str">
        <f>IFERROR(VLOOKUP(December[[#This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54" t="str">
        <f>IFERROR(VLOOKUP(December[[#This Row],[Drug Name4]],'Data Options'!$R$1:$S$100,2,FALSE), " ")</f>
        <v xml:space="preserve"> </v>
      </c>
      <c r="AI167" s="32"/>
      <c r="AJ167" s="32"/>
      <c r="AK167" s="53"/>
      <c r="AL167" s="54" t="str">
        <f>IFERROR(VLOOKUP(December[[#This Row],[Drug Name5]],'Data Options'!$R$1:$S$100,2,FALSE), " ")</f>
        <v xml:space="preserve"> </v>
      </c>
      <c r="AM167" s="32"/>
      <c r="AN167" s="32"/>
      <c r="AO167" s="53"/>
      <c r="AP167" s="54" t="str">
        <f>IFERROR(VLOOKUP(December[[#This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54" t="str">
        <f>IFERROR(VLOOKUP(December[[#This Row],[Drug Name7]],'Data Options'!$R$1:$S$100,2,FALSE), " ")</f>
        <v xml:space="preserve"> </v>
      </c>
      <c r="AZ167" s="32"/>
      <c r="BA167" s="32"/>
      <c r="BB167" s="53"/>
      <c r="BC167" s="54" t="str">
        <f>IFERROR(VLOOKUP(December[[#This Row],[Drug Name8]],'Data Options'!$R$1:$S$100,2,FALSE), " ")</f>
        <v xml:space="preserve"> </v>
      </c>
      <c r="BD167" s="32"/>
      <c r="BE167" s="32"/>
      <c r="BF167" s="53"/>
      <c r="BG167" s="54" t="str">
        <f>IFERROR(VLOOKUP(December[[#This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54" t="str">
        <f>IFERROR(VLOOKUP(December[[#This Row],[Drug Name]],'Data Options'!$R$1:$S$100,2,FALSE), " ")</f>
        <v xml:space="preserve"> </v>
      </c>
      <c r="R168" s="32"/>
      <c r="S168" s="32"/>
      <c r="T168" s="53"/>
      <c r="U168" s="54" t="str">
        <f>IFERROR(VLOOKUP(December[[#This Row],[Drug Name2]],'Data Options'!$R$1:$S$100,2,FALSE), " ")</f>
        <v xml:space="preserve"> </v>
      </c>
      <c r="V168" s="32"/>
      <c r="W168" s="32"/>
      <c r="X168" s="53"/>
      <c r="Y168" s="54" t="str">
        <f>IFERROR(VLOOKUP(December[[#This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54" t="str">
        <f>IFERROR(VLOOKUP(December[[#This Row],[Drug Name4]],'Data Options'!$R$1:$S$100,2,FALSE), " ")</f>
        <v xml:space="preserve"> </v>
      </c>
      <c r="AI168" s="32"/>
      <c r="AJ168" s="32"/>
      <c r="AK168" s="53"/>
      <c r="AL168" s="54" t="str">
        <f>IFERROR(VLOOKUP(December[[#This Row],[Drug Name5]],'Data Options'!$R$1:$S$100,2,FALSE), " ")</f>
        <v xml:space="preserve"> </v>
      </c>
      <c r="AM168" s="32"/>
      <c r="AN168" s="32"/>
      <c r="AO168" s="53"/>
      <c r="AP168" s="54" t="str">
        <f>IFERROR(VLOOKUP(December[[#This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54" t="str">
        <f>IFERROR(VLOOKUP(December[[#This Row],[Drug Name7]],'Data Options'!$R$1:$S$100,2,FALSE), " ")</f>
        <v xml:space="preserve"> </v>
      </c>
      <c r="AZ168" s="32"/>
      <c r="BA168" s="32"/>
      <c r="BB168" s="53"/>
      <c r="BC168" s="54" t="str">
        <f>IFERROR(VLOOKUP(December[[#This Row],[Drug Name8]],'Data Options'!$R$1:$S$100,2,FALSE), " ")</f>
        <v xml:space="preserve"> </v>
      </c>
      <c r="BD168" s="32"/>
      <c r="BE168" s="32"/>
      <c r="BF168" s="53"/>
      <c r="BG168" s="54" t="str">
        <f>IFERROR(VLOOKUP(December[[#This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54" t="str">
        <f>IFERROR(VLOOKUP(December[[#This Row],[Drug Name]],'Data Options'!$R$1:$S$100,2,FALSE), " ")</f>
        <v xml:space="preserve"> </v>
      </c>
      <c r="R169" s="32"/>
      <c r="S169" s="32"/>
      <c r="T169" s="53"/>
      <c r="U169" s="54" t="str">
        <f>IFERROR(VLOOKUP(December[[#This Row],[Drug Name2]],'Data Options'!$R$1:$S$100,2,FALSE), " ")</f>
        <v xml:space="preserve"> </v>
      </c>
      <c r="V169" s="32"/>
      <c r="W169" s="32"/>
      <c r="X169" s="53"/>
      <c r="Y169" s="54" t="str">
        <f>IFERROR(VLOOKUP(December[[#This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54" t="str">
        <f>IFERROR(VLOOKUP(December[[#This Row],[Drug Name4]],'Data Options'!$R$1:$S$100,2,FALSE), " ")</f>
        <v xml:space="preserve"> </v>
      </c>
      <c r="AI169" s="32"/>
      <c r="AJ169" s="32"/>
      <c r="AK169" s="53"/>
      <c r="AL169" s="54" t="str">
        <f>IFERROR(VLOOKUP(December[[#This Row],[Drug Name5]],'Data Options'!$R$1:$S$100,2,FALSE), " ")</f>
        <v xml:space="preserve"> </v>
      </c>
      <c r="AM169" s="32"/>
      <c r="AN169" s="32"/>
      <c r="AO169" s="53"/>
      <c r="AP169" s="54" t="str">
        <f>IFERROR(VLOOKUP(December[[#This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54" t="str">
        <f>IFERROR(VLOOKUP(December[[#This Row],[Drug Name7]],'Data Options'!$R$1:$S$100,2,FALSE), " ")</f>
        <v xml:space="preserve"> </v>
      </c>
      <c r="AZ169" s="32"/>
      <c r="BA169" s="32"/>
      <c r="BB169" s="53"/>
      <c r="BC169" s="54" t="str">
        <f>IFERROR(VLOOKUP(December[[#This Row],[Drug Name8]],'Data Options'!$R$1:$S$100,2,FALSE), " ")</f>
        <v xml:space="preserve"> </v>
      </c>
      <c r="BD169" s="32"/>
      <c r="BE169" s="32"/>
      <c r="BF169" s="53"/>
      <c r="BG169" s="54" t="str">
        <f>IFERROR(VLOOKUP(December[[#This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54" t="str">
        <f>IFERROR(VLOOKUP(December[[#This Row],[Drug Name]],'Data Options'!$R$1:$S$100,2,FALSE), " ")</f>
        <v xml:space="preserve"> </v>
      </c>
      <c r="R170" s="32"/>
      <c r="S170" s="32"/>
      <c r="T170" s="53"/>
      <c r="U170" s="54" t="str">
        <f>IFERROR(VLOOKUP(December[[#This Row],[Drug Name2]],'Data Options'!$R$1:$S$100,2,FALSE), " ")</f>
        <v xml:space="preserve"> </v>
      </c>
      <c r="V170" s="32"/>
      <c r="W170" s="32"/>
      <c r="X170" s="53"/>
      <c r="Y170" s="54" t="str">
        <f>IFERROR(VLOOKUP(December[[#This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54" t="str">
        <f>IFERROR(VLOOKUP(December[[#This Row],[Drug Name4]],'Data Options'!$R$1:$S$100,2,FALSE), " ")</f>
        <v xml:space="preserve"> </v>
      </c>
      <c r="AI170" s="32"/>
      <c r="AJ170" s="32"/>
      <c r="AK170" s="53"/>
      <c r="AL170" s="54" t="str">
        <f>IFERROR(VLOOKUP(December[[#This Row],[Drug Name5]],'Data Options'!$R$1:$S$100,2,FALSE), " ")</f>
        <v xml:space="preserve"> </v>
      </c>
      <c r="AM170" s="32"/>
      <c r="AN170" s="32"/>
      <c r="AO170" s="53"/>
      <c r="AP170" s="54" t="str">
        <f>IFERROR(VLOOKUP(December[[#This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54" t="str">
        <f>IFERROR(VLOOKUP(December[[#This Row],[Drug Name7]],'Data Options'!$R$1:$S$100,2,FALSE), " ")</f>
        <v xml:space="preserve"> </v>
      </c>
      <c r="AZ170" s="32"/>
      <c r="BA170" s="32"/>
      <c r="BB170" s="53"/>
      <c r="BC170" s="54" t="str">
        <f>IFERROR(VLOOKUP(December[[#This Row],[Drug Name8]],'Data Options'!$R$1:$S$100,2,FALSE), " ")</f>
        <v xml:space="preserve"> </v>
      </c>
      <c r="BD170" s="32"/>
      <c r="BE170" s="32"/>
      <c r="BF170" s="53"/>
      <c r="BG170" s="54" t="str">
        <f>IFERROR(VLOOKUP(December[[#This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54" t="str">
        <f>IFERROR(VLOOKUP(December[[#This Row],[Drug Name]],'Data Options'!$R$1:$S$100,2,FALSE), " ")</f>
        <v xml:space="preserve"> </v>
      </c>
      <c r="R171" s="32"/>
      <c r="S171" s="32"/>
      <c r="T171" s="53"/>
      <c r="U171" s="54" t="str">
        <f>IFERROR(VLOOKUP(December[[#This Row],[Drug Name2]],'Data Options'!$R$1:$S$100,2,FALSE), " ")</f>
        <v xml:space="preserve"> </v>
      </c>
      <c r="V171" s="32"/>
      <c r="W171" s="32"/>
      <c r="X171" s="53"/>
      <c r="Y171" s="54" t="str">
        <f>IFERROR(VLOOKUP(December[[#This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54" t="str">
        <f>IFERROR(VLOOKUP(December[[#This Row],[Drug Name4]],'Data Options'!$R$1:$S$100,2,FALSE), " ")</f>
        <v xml:space="preserve"> </v>
      </c>
      <c r="AI171" s="32"/>
      <c r="AJ171" s="32"/>
      <c r="AK171" s="53"/>
      <c r="AL171" s="54" t="str">
        <f>IFERROR(VLOOKUP(December[[#This Row],[Drug Name5]],'Data Options'!$R$1:$S$100,2,FALSE), " ")</f>
        <v xml:space="preserve"> </v>
      </c>
      <c r="AM171" s="32"/>
      <c r="AN171" s="32"/>
      <c r="AO171" s="53"/>
      <c r="AP171" s="54" t="str">
        <f>IFERROR(VLOOKUP(December[[#This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54" t="str">
        <f>IFERROR(VLOOKUP(December[[#This Row],[Drug Name7]],'Data Options'!$R$1:$S$100,2,FALSE), " ")</f>
        <v xml:space="preserve"> </v>
      </c>
      <c r="AZ171" s="32"/>
      <c r="BA171" s="32"/>
      <c r="BB171" s="53"/>
      <c r="BC171" s="54" t="str">
        <f>IFERROR(VLOOKUP(December[[#This Row],[Drug Name8]],'Data Options'!$R$1:$S$100,2,FALSE), " ")</f>
        <v xml:space="preserve"> </v>
      </c>
      <c r="BD171" s="32"/>
      <c r="BE171" s="32"/>
      <c r="BF171" s="53"/>
      <c r="BG171" s="54" t="str">
        <f>IFERROR(VLOOKUP(December[[#This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54" t="str">
        <f>IFERROR(VLOOKUP(December[[#This Row],[Drug Name]],'Data Options'!$R$1:$S$100,2,FALSE), " ")</f>
        <v xml:space="preserve"> </v>
      </c>
      <c r="R172" s="32"/>
      <c r="S172" s="32"/>
      <c r="T172" s="53"/>
      <c r="U172" s="54" t="str">
        <f>IFERROR(VLOOKUP(December[[#This Row],[Drug Name2]],'Data Options'!$R$1:$S$100,2,FALSE), " ")</f>
        <v xml:space="preserve"> </v>
      </c>
      <c r="V172" s="32"/>
      <c r="W172" s="32"/>
      <c r="X172" s="53"/>
      <c r="Y172" s="54" t="str">
        <f>IFERROR(VLOOKUP(December[[#This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54" t="str">
        <f>IFERROR(VLOOKUP(December[[#This Row],[Drug Name4]],'Data Options'!$R$1:$S$100,2,FALSE), " ")</f>
        <v xml:space="preserve"> </v>
      </c>
      <c r="AI172" s="32"/>
      <c r="AJ172" s="32"/>
      <c r="AK172" s="53"/>
      <c r="AL172" s="54" t="str">
        <f>IFERROR(VLOOKUP(December[[#This Row],[Drug Name5]],'Data Options'!$R$1:$S$100,2,FALSE), " ")</f>
        <v xml:space="preserve"> </v>
      </c>
      <c r="AM172" s="32"/>
      <c r="AN172" s="32"/>
      <c r="AO172" s="53"/>
      <c r="AP172" s="54" t="str">
        <f>IFERROR(VLOOKUP(December[[#This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54" t="str">
        <f>IFERROR(VLOOKUP(December[[#This Row],[Drug Name7]],'Data Options'!$R$1:$S$100,2,FALSE), " ")</f>
        <v xml:space="preserve"> </v>
      </c>
      <c r="AZ172" s="32"/>
      <c r="BA172" s="32"/>
      <c r="BB172" s="53"/>
      <c r="BC172" s="54" t="str">
        <f>IFERROR(VLOOKUP(December[[#This Row],[Drug Name8]],'Data Options'!$R$1:$S$100,2,FALSE), " ")</f>
        <v xml:space="preserve"> </v>
      </c>
      <c r="BD172" s="32"/>
      <c r="BE172" s="32"/>
      <c r="BF172" s="53"/>
      <c r="BG172" s="54" t="str">
        <f>IFERROR(VLOOKUP(December[[#This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54" t="str">
        <f>IFERROR(VLOOKUP(December[[#This Row],[Drug Name]],'Data Options'!$R$1:$S$100,2,FALSE), " ")</f>
        <v xml:space="preserve"> </v>
      </c>
      <c r="R173" s="32"/>
      <c r="S173" s="32"/>
      <c r="T173" s="53"/>
      <c r="U173" s="54" t="str">
        <f>IFERROR(VLOOKUP(December[[#This Row],[Drug Name2]],'Data Options'!$R$1:$S$100,2,FALSE), " ")</f>
        <v xml:space="preserve"> </v>
      </c>
      <c r="V173" s="32"/>
      <c r="W173" s="32"/>
      <c r="X173" s="53"/>
      <c r="Y173" s="54" t="str">
        <f>IFERROR(VLOOKUP(December[[#This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54" t="str">
        <f>IFERROR(VLOOKUP(December[[#This Row],[Drug Name4]],'Data Options'!$R$1:$S$100,2,FALSE), " ")</f>
        <v xml:space="preserve"> </v>
      </c>
      <c r="AI173" s="32"/>
      <c r="AJ173" s="32"/>
      <c r="AK173" s="53"/>
      <c r="AL173" s="54" t="str">
        <f>IFERROR(VLOOKUP(December[[#This Row],[Drug Name5]],'Data Options'!$R$1:$S$100,2,FALSE), " ")</f>
        <v xml:space="preserve"> </v>
      </c>
      <c r="AM173" s="32"/>
      <c r="AN173" s="32"/>
      <c r="AO173" s="53"/>
      <c r="AP173" s="54" t="str">
        <f>IFERROR(VLOOKUP(December[[#This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54" t="str">
        <f>IFERROR(VLOOKUP(December[[#This Row],[Drug Name7]],'Data Options'!$R$1:$S$100,2,FALSE), " ")</f>
        <v xml:space="preserve"> </v>
      </c>
      <c r="AZ173" s="32"/>
      <c r="BA173" s="32"/>
      <c r="BB173" s="53"/>
      <c r="BC173" s="54" t="str">
        <f>IFERROR(VLOOKUP(December[[#This Row],[Drug Name8]],'Data Options'!$R$1:$S$100,2,FALSE), " ")</f>
        <v xml:space="preserve"> </v>
      </c>
      <c r="BD173" s="32"/>
      <c r="BE173" s="32"/>
      <c r="BF173" s="53"/>
      <c r="BG173" s="54" t="str">
        <f>IFERROR(VLOOKUP(December[[#This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54" t="str">
        <f>IFERROR(VLOOKUP(December[[#This Row],[Drug Name]],'Data Options'!$R$1:$S$100,2,FALSE), " ")</f>
        <v xml:space="preserve"> </v>
      </c>
      <c r="R174" s="32"/>
      <c r="S174" s="32"/>
      <c r="T174" s="53"/>
      <c r="U174" s="54" t="str">
        <f>IFERROR(VLOOKUP(December[[#This Row],[Drug Name2]],'Data Options'!$R$1:$S$100,2,FALSE), " ")</f>
        <v xml:space="preserve"> </v>
      </c>
      <c r="V174" s="32"/>
      <c r="W174" s="32"/>
      <c r="X174" s="53"/>
      <c r="Y174" s="54" t="str">
        <f>IFERROR(VLOOKUP(December[[#This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54" t="str">
        <f>IFERROR(VLOOKUP(December[[#This Row],[Drug Name4]],'Data Options'!$R$1:$S$100,2,FALSE), " ")</f>
        <v xml:space="preserve"> </v>
      </c>
      <c r="AI174" s="32"/>
      <c r="AJ174" s="32"/>
      <c r="AK174" s="53"/>
      <c r="AL174" s="54" t="str">
        <f>IFERROR(VLOOKUP(December[[#This Row],[Drug Name5]],'Data Options'!$R$1:$S$100,2,FALSE), " ")</f>
        <v xml:space="preserve"> </v>
      </c>
      <c r="AM174" s="32"/>
      <c r="AN174" s="32"/>
      <c r="AO174" s="53"/>
      <c r="AP174" s="54" t="str">
        <f>IFERROR(VLOOKUP(December[[#This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54" t="str">
        <f>IFERROR(VLOOKUP(December[[#This Row],[Drug Name7]],'Data Options'!$R$1:$S$100,2,FALSE), " ")</f>
        <v xml:space="preserve"> </v>
      </c>
      <c r="AZ174" s="32"/>
      <c r="BA174" s="32"/>
      <c r="BB174" s="53"/>
      <c r="BC174" s="54" t="str">
        <f>IFERROR(VLOOKUP(December[[#This Row],[Drug Name8]],'Data Options'!$R$1:$S$100,2,FALSE), " ")</f>
        <v xml:space="preserve"> </v>
      </c>
      <c r="BD174" s="32"/>
      <c r="BE174" s="32"/>
      <c r="BF174" s="53"/>
      <c r="BG174" s="54" t="str">
        <f>IFERROR(VLOOKUP(December[[#This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54" t="str">
        <f>IFERROR(VLOOKUP(December[[#This Row],[Drug Name]],'Data Options'!$R$1:$S$100,2,FALSE), " ")</f>
        <v xml:space="preserve"> </v>
      </c>
      <c r="R175" s="32"/>
      <c r="S175" s="32"/>
      <c r="T175" s="53"/>
      <c r="U175" s="54" t="str">
        <f>IFERROR(VLOOKUP(December[[#This Row],[Drug Name2]],'Data Options'!$R$1:$S$100,2,FALSE), " ")</f>
        <v xml:space="preserve"> </v>
      </c>
      <c r="V175" s="32"/>
      <c r="W175" s="32"/>
      <c r="X175" s="53"/>
      <c r="Y175" s="54" t="str">
        <f>IFERROR(VLOOKUP(December[[#This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54" t="str">
        <f>IFERROR(VLOOKUP(December[[#This Row],[Drug Name4]],'Data Options'!$R$1:$S$100,2,FALSE), " ")</f>
        <v xml:space="preserve"> </v>
      </c>
      <c r="AI175" s="32"/>
      <c r="AJ175" s="32"/>
      <c r="AK175" s="53"/>
      <c r="AL175" s="54" t="str">
        <f>IFERROR(VLOOKUP(December[[#This Row],[Drug Name5]],'Data Options'!$R$1:$S$100,2,FALSE), " ")</f>
        <v xml:space="preserve"> </v>
      </c>
      <c r="AM175" s="32"/>
      <c r="AN175" s="32"/>
      <c r="AO175" s="53"/>
      <c r="AP175" s="54" t="str">
        <f>IFERROR(VLOOKUP(December[[#This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54" t="str">
        <f>IFERROR(VLOOKUP(December[[#This Row],[Drug Name7]],'Data Options'!$R$1:$S$100,2,FALSE), " ")</f>
        <v xml:space="preserve"> </v>
      </c>
      <c r="AZ175" s="32"/>
      <c r="BA175" s="32"/>
      <c r="BB175" s="53"/>
      <c r="BC175" s="54" t="str">
        <f>IFERROR(VLOOKUP(December[[#This Row],[Drug Name8]],'Data Options'!$R$1:$S$100,2,FALSE), " ")</f>
        <v xml:space="preserve"> </v>
      </c>
      <c r="BD175" s="32"/>
      <c r="BE175" s="32"/>
      <c r="BF175" s="53"/>
      <c r="BG175" s="54" t="str">
        <f>IFERROR(VLOOKUP(December[[#This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54" t="str">
        <f>IFERROR(VLOOKUP(December[[#This Row],[Drug Name]],'Data Options'!$R$1:$S$100,2,FALSE), " ")</f>
        <v xml:space="preserve"> </v>
      </c>
      <c r="R176" s="32"/>
      <c r="S176" s="32"/>
      <c r="T176" s="53"/>
      <c r="U176" s="54" t="str">
        <f>IFERROR(VLOOKUP(December[[#This Row],[Drug Name2]],'Data Options'!$R$1:$S$100,2,FALSE), " ")</f>
        <v xml:space="preserve"> </v>
      </c>
      <c r="V176" s="32"/>
      <c r="W176" s="32"/>
      <c r="X176" s="53"/>
      <c r="Y176" s="54" t="str">
        <f>IFERROR(VLOOKUP(December[[#This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54" t="str">
        <f>IFERROR(VLOOKUP(December[[#This Row],[Drug Name4]],'Data Options'!$R$1:$S$100,2,FALSE), " ")</f>
        <v xml:space="preserve"> </v>
      </c>
      <c r="AI176" s="32"/>
      <c r="AJ176" s="32"/>
      <c r="AK176" s="53"/>
      <c r="AL176" s="54" t="str">
        <f>IFERROR(VLOOKUP(December[[#This Row],[Drug Name5]],'Data Options'!$R$1:$S$100,2,FALSE), " ")</f>
        <v xml:space="preserve"> </v>
      </c>
      <c r="AM176" s="32"/>
      <c r="AN176" s="32"/>
      <c r="AO176" s="53"/>
      <c r="AP176" s="54" t="str">
        <f>IFERROR(VLOOKUP(December[[#This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54" t="str">
        <f>IFERROR(VLOOKUP(December[[#This Row],[Drug Name7]],'Data Options'!$R$1:$S$100,2,FALSE), " ")</f>
        <v xml:space="preserve"> </v>
      </c>
      <c r="AZ176" s="32"/>
      <c r="BA176" s="32"/>
      <c r="BB176" s="53"/>
      <c r="BC176" s="54" t="str">
        <f>IFERROR(VLOOKUP(December[[#This Row],[Drug Name8]],'Data Options'!$R$1:$S$100,2,FALSE), " ")</f>
        <v xml:space="preserve"> </v>
      </c>
      <c r="BD176" s="32"/>
      <c r="BE176" s="32"/>
      <c r="BF176" s="53"/>
      <c r="BG176" s="54" t="str">
        <f>IFERROR(VLOOKUP(December[[#This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54" t="str">
        <f>IFERROR(VLOOKUP(December[[#This Row],[Drug Name]],'Data Options'!$R$1:$S$100,2,FALSE), " ")</f>
        <v xml:space="preserve"> </v>
      </c>
      <c r="R177" s="32"/>
      <c r="S177" s="32"/>
      <c r="T177" s="53"/>
      <c r="U177" s="54" t="str">
        <f>IFERROR(VLOOKUP(December[[#This Row],[Drug Name2]],'Data Options'!$R$1:$S$100,2,FALSE), " ")</f>
        <v xml:space="preserve"> </v>
      </c>
      <c r="V177" s="32"/>
      <c r="W177" s="32"/>
      <c r="X177" s="53"/>
      <c r="Y177" s="54" t="str">
        <f>IFERROR(VLOOKUP(December[[#This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54" t="str">
        <f>IFERROR(VLOOKUP(December[[#This Row],[Drug Name4]],'Data Options'!$R$1:$S$100,2,FALSE), " ")</f>
        <v xml:space="preserve"> </v>
      </c>
      <c r="AI177" s="32"/>
      <c r="AJ177" s="32"/>
      <c r="AK177" s="53"/>
      <c r="AL177" s="54" t="str">
        <f>IFERROR(VLOOKUP(December[[#This Row],[Drug Name5]],'Data Options'!$R$1:$S$100,2,FALSE), " ")</f>
        <v xml:space="preserve"> </v>
      </c>
      <c r="AM177" s="32"/>
      <c r="AN177" s="32"/>
      <c r="AO177" s="53"/>
      <c r="AP177" s="54" t="str">
        <f>IFERROR(VLOOKUP(December[[#This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54" t="str">
        <f>IFERROR(VLOOKUP(December[[#This Row],[Drug Name7]],'Data Options'!$R$1:$S$100,2,FALSE), " ")</f>
        <v xml:space="preserve"> </v>
      </c>
      <c r="AZ177" s="32"/>
      <c r="BA177" s="32"/>
      <c r="BB177" s="53"/>
      <c r="BC177" s="54" t="str">
        <f>IFERROR(VLOOKUP(December[[#This Row],[Drug Name8]],'Data Options'!$R$1:$S$100,2,FALSE), " ")</f>
        <v xml:space="preserve"> </v>
      </c>
      <c r="BD177" s="32"/>
      <c r="BE177" s="32"/>
      <c r="BF177" s="53"/>
      <c r="BG177" s="54" t="str">
        <f>IFERROR(VLOOKUP(December[[#This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54" t="str">
        <f>IFERROR(VLOOKUP(December[[#This Row],[Drug Name]],'Data Options'!$R$1:$S$100,2,FALSE), " ")</f>
        <v xml:space="preserve"> </v>
      </c>
      <c r="R178" s="32"/>
      <c r="S178" s="32"/>
      <c r="T178" s="53"/>
      <c r="U178" s="54" t="str">
        <f>IFERROR(VLOOKUP(December[[#This Row],[Drug Name2]],'Data Options'!$R$1:$S$100,2,FALSE), " ")</f>
        <v xml:space="preserve"> </v>
      </c>
      <c r="V178" s="32"/>
      <c r="W178" s="32"/>
      <c r="X178" s="53"/>
      <c r="Y178" s="54" t="str">
        <f>IFERROR(VLOOKUP(December[[#This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54" t="str">
        <f>IFERROR(VLOOKUP(December[[#This Row],[Drug Name4]],'Data Options'!$R$1:$S$100,2,FALSE), " ")</f>
        <v xml:space="preserve"> </v>
      </c>
      <c r="AI178" s="32"/>
      <c r="AJ178" s="32"/>
      <c r="AK178" s="53"/>
      <c r="AL178" s="54" t="str">
        <f>IFERROR(VLOOKUP(December[[#This Row],[Drug Name5]],'Data Options'!$R$1:$S$100,2,FALSE), " ")</f>
        <v xml:space="preserve"> </v>
      </c>
      <c r="AM178" s="32"/>
      <c r="AN178" s="32"/>
      <c r="AO178" s="53"/>
      <c r="AP178" s="54" t="str">
        <f>IFERROR(VLOOKUP(December[[#This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54" t="str">
        <f>IFERROR(VLOOKUP(December[[#This Row],[Drug Name7]],'Data Options'!$R$1:$S$100,2,FALSE), " ")</f>
        <v xml:space="preserve"> </v>
      </c>
      <c r="AZ178" s="32"/>
      <c r="BA178" s="32"/>
      <c r="BB178" s="53"/>
      <c r="BC178" s="54" t="str">
        <f>IFERROR(VLOOKUP(December[[#This Row],[Drug Name8]],'Data Options'!$R$1:$S$100,2,FALSE), " ")</f>
        <v xml:space="preserve"> </v>
      </c>
      <c r="BD178" s="32"/>
      <c r="BE178" s="32"/>
      <c r="BF178" s="53"/>
      <c r="BG178" s="54" t="str">
        <f>IFERROR(VLOOKUP(December[[#This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54" t="str">
        <f>IFERROR(VLOOKUP(December[[#This Row],[Drug Name]],'Data Options'!$R$1:$S$100,2,FALSE), " ")</f>
        <v xml:space="preserve"> </v>
      </c>
      <c r="R179" s="32"/>
      <c r="S179" s="32"/>
      <c r="T179" s="53"/>
      <c r="U179" s="54" t="str">
        <f>IFERROR(VLOOKUP(December[[#This Row],[Drug Name2]],'Data Options'!$R$1:$S$100,2,FALSE), " ")</f>
        <v xml:space="preserve"> </v>
      </c>
      <c r="V179" s="32"/>
      <c r="W179" s="32"/>
      <c r="X179" s="53"/>
      <c r="Y179" s="54" t="str">
        <f>IFERROR(VLOOKUP(December[[#This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54" t="str">
        <f>IFERROR(VLOOKUP(December[[#This Row],[Drug Name4]],'Data Options'!$R$1:$S$100,2,FALSE), " ")</f>
        <v xml:space="preserve"> </v>
      </c>
      <c r="AI179" s="32"/>
      <c r="AJ179" s="32"/>
      <c r="AK179" s="53"/>
      <c r="AL179" s="54" t="str">
        <f>IFERROR(VLOOKUP(December[[#This Row],[Drug Name5]],'Data Options'!$R$1:$S$100,2,FALSE), " ")</f>
        <v xml:space="preserve"> </v>
      </c>
      <c r="AM179" s="32"/>
      <c r="AN179" s="32"/>
      <c r="AO179" s="53"/>
      <c r="AP179" s="54" t="str">
        <f>IFERROR(VLOOKUP(December[[#This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54" t="str">
        <f>IFERROR(VLOOKUP(December[[#This Row],[Drug Name7]],'Data Options'!$R$1:$S$100,2,FALSE), " ")</f>
        <v xml:space="preserve"> </v>
      </c>
      <c r="AZ179" s="32"/>
      <c r="BA179" s="32"/>
      <c r="BB179" s="53"/>
      <c r="BC179" s="54" t="str">
        <f>IFERROR(VLOOKUP(December[[#This Row],[Drug Name8]],'Data Options'!$R$1:$S$100,2,FALSE), " ")</f>
        <v xml:space="preserve"> </v>
      </c>
      <c r="BD179" s="32"/>
      <c r="BE179" s="32"/>
      <c r="BF179" s="53"/>
      <c r="BG179" s="54" t="str">
        <f>IFERROR(VLOOKUP(December[[#This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54" t="str">
        <f>IFERROR(VLOOKUP(December[[#This Row],[Drug Name]],'Data Options'!$R$1:$S$100,2,FALSE), " ")</f>
        <v xml:space="preserve"> </v>
      </c>
      <c r="R180" s="32"/>
      <c r="S180" s="32"/>
      <c r="T180" s="53"/>
      <c r="U180" s="54" t="str">
        <f>IFERROR(VLOOKUP(December[[#This Row],[Drug Name2]],'Data Options'!$R$1:$S$100,2,FALSE), " ")</f>
        <v xml:space="preserve"> </v>
      </c>
      <c r="V180" s="32"/>
      <c r="W180" s="32"/>
      <c r="X180" s="53"/>
      <c r="Y180" s="54" t="str">
        <f>IFERROR(VLOOKUP(December[[#This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54" t="str">
        <f>IFERROR(VLOOKUP(December[[#This Row],[Drug Name4]],'Data Options'!$R$1:$S$100,2,FALSE), " ")</f>
        <v xml:space="preserve"> </v>
      </c>
      <c r="AI180" s="32"/>
      <c r="AJ180" s="32"/>
      <c r="AK180" s="53"/>
      <c r="AL180" s="54" t="str">
        <f>IFERROR(VLOOKUP(December[[#This Row],[Drug Name5]],'Data Options'!$R$1:$S$100,2,FALSE), " ")</f>
        <v xml:space="preserve"> </v>
      </c>
      <c r="AM180" s="32"/>
      <c r="AN180" s="32"/>
      <c r="AO180" s="53"/>
      <c r="AP180" s="54" t="str">
        <f>IFERROR(VLOOKUP(December[[#This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54" t="str">
        <f>IFERROR(VLOOKUP(December[[#This Row],[Drug Name7]],'Data Options'!$R$1:$S$100,2,FALSE), " ")</f>
        <v xml:space="preserve"> </v>
      </c>
      <c r="AZ180" s="32"/>
      <c r="BA180" s="32"/>
      <c r="BB180" s="53"/>
      <c r="BC180" s="54" t="str">
        <f>IFERROR(VLOOKUP(December[[#This Row],[Drug Name8]],'Data Options'!$R$1:$S$100,2,FALSE), " ")</f>
        <v xml:space="preserve"> </v>
      </c>
      <c r="BD180" s="32"/>
      <c r="BE180" s="32"/>
      <c r="BF180" s="53"/>
      <c r="BG180" s="54" t="str">
        <f>IFERROR(VLOOKUP(December[[#This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54" t="str">
        <f>IFERROR(VLOOKUP(December[[#This Row],[Drug Name]],'Data Options'!$R$1:$S$100,2,FALSE), " ")</f>
        <v xml:space="preserve"> </v>
      </c>
      <c r="R181" s="32"/>
      <c r="S181" s="32"/>
      <c r="T181" s="53"/>
      <c r="U181" s="54" t="str">
        <f>IFERROR(VLOOKUP(December[[#This Row],[Drug Name2]],'Data Options'!$R$1:$S$100,2,FALSE), " ")</f>
        <v xml:space="preserve"> </v>
      </c>
      <c r="V181" s="32"/>
      <c r="W181" s="32"/>
      <c r="X181" s="53"/>
      <c r="Y181" s="54" t="str">
        <f>IFERROR(VLOOKUP(December[[#This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54" t="str">
        <f>IFERROR(VLOOKUP(December[[#This Row],[Drug Name4]],'Data Options'!$R$1:$S$100,2,FALSE), " ")</f>
        <v xml:space="preserve"> </v>
      </c>
      <c r="AI181" s="32"/>
      <c r="AJ181" s="32"/>
      <c r="AK181" s="53"/>
      <c r="AL181" s="54" t="str">
        <f>IFERROR(VLOOKUP(December[[#This Row],[Drug Name5]],'Data Options'!$R$1:$S$100,2,FALSE), " ")</f>
        <v xml:space="preserve"> </v>
      </c>
      <c r="AM181" s="32"/>
      <c r="AN181" s="32"/>
      <c r="AO181" s="53"/>
      <c r="AP181" s="54" t="str">
        <f>IFERROR(VLOOKUP(December[[#This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54" t="str">
        <f>IFERROR(VLOOKUP(December[[#This Row],[Drug Name7]],'Data Options'!$R$1:$S$100,2,FALSE), " ")</f>
        <v xml:space="preserve"> </v>
      </c>
      <c r="AZ181" s="32"/>
      <c r="BA181" s="32"/>
      <c r="BB181" s="53"/>
      <c r="BC181" s="54" t="str">
        <f>IFERROR(VLOOKUP(December[[#This Row],[Drug Name8]],'Data Options'!$R$1:$S$100,2,FALSE), " ")</f>
        <v xml:space="preserve"> </v>
      </c>
      <c r="BD181" s="32"/>
      <c r="BE181" s="32"/>
      <c r="BF181" s="53"/>
      <c r="BG181" s="54" t="str">
        <f>IFERROR(VLOOKUP(December[[#This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54" t="str">
        <f>IFERROR(VLOOKUP(December[[#This Row],[Drug Name]],'Data Options'!$R$1:$S$100,2,FALSE), " ")</f>
        <v xml:space="preserve"> </v>
      </c>
      <c r="R182" s="32"/>
      <c r="S182" s="32"/>
      <c r="T182" s="53"/>
      <c r="U182" s="54" t="str">
        <f>IFERROR(VLOOKUP(December[[#This Row],[Drug Name2]],'Data Options'!$R$1:$S$100,2,FALSE), " ")</f>
        <v xml:space="preserve"> </v>
      </c>
      <c r="V182" s="32"/>
      <c r="W182" s="32"/>
      <c r="X182" s="53"/>
      <c r="Y182" s="54" t="str">
        <f>IFERROR(VLOOKUP(December[[#This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54" t="str">
        <f>IFERROR(VLOOKUP(December[[#This Row],[Drug Name4]],'Data Options'!$R$1:$S$100,2,FALSE), " ")</f>
        <v xml:space="preserve"> </v>
      </c>
      <c r="AI182" s="32"/>
      <c r="AJ182" s="32"/>
      <c r="AK182" s="53"/>
      <c r="AL182" s="54" t="str">
        <f>IFERROR(VLOOKUP(December[[#This Row],[Drug Name5]],'Data Options'!$R$1:$S$100,2,FALSE), " ")</f>
        <v xml:space="preserve"> </v>
      </c>
      <c r="AM182" s="32"/>
      <c r="AN182" s="32"/>
      <c r="AO182" s="53"/>
      <c r="AP182" s="54" t="str">
        <f>IFERROR(VLOOKUP(December[[#This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54" t="str">
        <f>IFERROR(VLOOKUP(December[[#This Row],[Drug Name7]],'Data Options'!$R$1:$S$100,2,FALSE), " ")</f>
        <v xml:space="preserve"> </v>
      </c>
      <c r="AZ182" s="32"/>
      <c r="BA182" s="32"/>
      <c r="BB182" s="53"/>
      <c r="BC182" s="54" t="str">
        <f>IFERROR(VLOOKUP(December[[#This Row],[Drug Name8]],'Data Options'!$R$1:$S$100,2,FALSE), " ")</f>
        <v xml:space="preserve"> </v>
      </c>
      <c r="BD182" s="32"/>
      <c r="BE182" s="32"/>
      <c r="BF182" s="53"/>
      <c r="BG182" s="54" t="str">
        <f>IFERROR(VLOOKUP(December[[#This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54" t="str">
        <f>IFERROR(VLOOKUP(December[[#This Row],[Drug Name]],'Data Options'!$R$1:$S$100,2,FALSE), " ")</f>
        <v xml:space="preserve"> </v>
      </c>
      <c r="R183" s="32"/>
      <c r="S183" s="32"/>
      <c r="T183" s="53"/>
      <c r="U183" s="54" t="str">
        <f>IFERROR(VLOOKUP(December[[#This Row],[Drug Name2]],'Data Options'!$R$1:$S$100,2,FALSE), " ")</f>
        <v xml:space="preserve"> </v>
      </c>
      <c r="V183" s="32"/>
      <c r="W183" s="32"/>
      <c r="X183" s="53"/>
      <c r="Y183" s="54" t="str">
        <f>IFERROR(VLOOKUP(December[[#This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54" t="str">
        <f>IFERROR(VLOOKUP(December[[#This Row],[Drug Name4]],'Data Options'!$R$1:$S$100,2,FALSE), " ")</f>
        <v xml:space="preserve"> </v>
      </c>
      <c r="AI183" s="32"/>
      <c r="AJ183" s="32"/>
      <c r="AK183" s="53"/>
      <c r="AL183" s="54" t="str">
        <f>IFERROR(VLOOKUP(December[[#This Row],[Drug Name5]],'Data Options'!$R$1:$S$100,2,FALSE), " ")</f>
        <v xml:space="preserve"> </v>
      </c>
      <c r="AM183" s="32"/>
      <c r="AN183" s="32"/>
      <c r="AO183" s="53"/>
      <c r="AP183" s="54" t="str">
        <f>IFERROR(VLOOKUP(December[[#This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54" t="str">
        <f>IFERROR(VLOOKUP(December[[#This Row],[Drug Name7]],'Data Options'!$R$1:$S$100,2,FALSE), " ")</f>
        <v xml:space="preserve"> </v>
      </c>
      <c r="AZ183" s="32"/>
      <c r="BA183" s="32"/>
      <c r="BB183" s="53"/>
      <c r="BC183" s="54" t="str">
        <f>IFERROR(VLOOKUP(December[[#This Row],[Drug Name8]],'Data Options'!$R$1:$S$100,2,FALSE), " ")</f>
        <v xml:space="preserve"> </v>
      </c>
      <c r="BD183" s="32"/>
      <c r="BE183" s="32"/>
      <c r="BF183" s="53"/>
      <c r="BG183" s="54" t="str">
        <f>IFERROR(VLOOKUP(December[[#This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54" t="str">
        <f>IFERROR(VLOOKUP(December[[#This Row],[Drug Name]],'Data Options'!$R$1:$S$100,2,FALSE), " ")</f>
        <v xml:space="preserve"> </v>
      </c>
      <c r="R184" s="32"/>
      <c r="S184" s="32"/>
      <c r="T184" s="53"/>
      <c r="U184" s="54" t="str">
        <f>IFERROR(VLOOKUP(December[[#This Row],[Drug Name2]],'Data Options'!$R$1:$S$100,2,FALSE), " ")</f>
        <v xml:space="preserve"> </v>
      </c>
      <c r="V184" s="32"/>
      <c r="W184" s="32"/>
      <c r="X184" s="53"/>
      <c r="Y184" s="54" t="str">
        <f>IFERROR(VLOOKUP(December[[#This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54" t="str">
        <f>IFERROR(VLOOKUP(December[[#This Row],[Drug Name4]],'Data Options'!$R$1:$S$100,2,FALSE), " ")</f>
        <v xml:space="preserve"> </v>
      </c>
      <c r="AI184" s="32"/>
      <c r="AJ184" s="32"/>
      <c r="AK184" s="53"/>
      <c r="AL184" s="54" t="str">
        <f>IFERROR(VLOOKUP(December[[#This Row],[Drug Name5]],'Data Options'!$R$1:$S$100,2,FALSE), " ")</f>
        <v xml:space="preserve"> </v>
      </c>
      <c r="AM184" s="32"/>
      <c r="AN184" s="32"/>
      <c r="AO184" s="53"/>
      <c r="AP184" s="54" t="str">
        <f>IFERROR(VLOOKUP(December[[#This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54" t="str">
        <f>IFERROR(VLOOKUP(December[[#This Row],[Drug Name7]],'Data Options'!$R$1:$S$100,2,FALSE), " ")</f>
        <v xml:space="preserve"> </v>
      </c>
      <c r="AZ184" s="32"/>
      <c r="BA184" s="32"/>
      <c r="BB184" s="53"/>
      <c r="BC184" s="54" t="str">
        <f>IFERROR(VLOOKUP(December[[#This Row],[Drug Name8]],'Data Options'!$R$1:$S$100,2,FALSE), " ")</f>
        <v xml:space="preserve"> </v>
      </c>
      <c r="BD184" s="32"/>
      <c r="BE184" s="32"/>
      <c r="BF184" s="53"/>
      <c r="BG184" s="54" t="str">
        <f>IFERROR(VLOOKUP(December[[#This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54" t="str">
        <f>IFERROR(VLOOKUP(December[[#This Row],[Drug Name]],'Data Options'!$R$1:$S$100,2,FALSE), " ")</f>
        <v xml:space="preserve"> </v>
      </c>
      <c r="R185" s="32"/>
      <c r="S185" s="32"/>
      <c r="T185" s="53"/>
      <c r="U185" s="54" t="str">
        <f>IFERROR(VLOOKUP(December[[#This Row],[Drug Name2]],'Data Options'!$R$1:$S$100,2,FALSE), " ")</f>
        <v xml:space="preserve"> </v>
      </c>
      <c r="V185" s="32"/>
      <c r="W185" s="32"/>
      <c r="X185" s="53"/>
      <c r="Y185" s="54" t="str">
        <f>IFERROR(VLOOKUP(December[[#This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54" t="str">
        <f>IFERROR(VLOOKUP(December[[#This Row],[Drug Name4]],'Data Options'!$R$1:$S$100,2,FALSE), " ")</f>
        <v xml:space="preserve"> </v>
      </c>
      <c r="AI185" s="32"/>
      <c r="AJ185" s="32"/>
      <c r="AK185" s="53"/>
      <c r="AL185" s="54" t="str">
        <f>IFERROR(VLOOKUP(December[[#This Row],[Drug Name5]],'Data Options'!$R$1:$S$100,2,FALSE), " ")</f>
        <v xml:space="preserve"> </v>
      </c>
      <c r="AM185" s="32"/>
      <c r="AN185" s="32"/>
      <c r="AO185" s="53"/>
      <c r="AP185" s="54" t="str">
        <f>IFERROR(VLOOKUP(December[[#This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54" t="str">
        <f>IFERROR(VLOOKUP(December[[#This Row],[Drug Name7]],'Data Options'!$R$1:$S$100,2,FALSE), " ")</f>
        <v xml:space="preserve"> </v>
      </c>
      <c r="AZ185" s="32"/>
      <c r="BA185" s="32"/>
      <c r="BB185" s="53"/>
      <c r="BC185" s="54" t="str">
        <f>IFERROR(VLOOKUP(December[[#This Row],[Drug Name8]],'Data Options'!$R$1:$S$100,2,FALSE), " ")</f>
        <v xml:space="preserve"> </v>
      </c>
      <c r="BD185" s="32"/>
      <c r="BE185" s="32"/>
      <c r="BF185" s="53"/>
      <c r="BG185" s="54" t="str">
        <f>IFERROR(VLOOKUP(December[[#This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54" t="str">
        <f>IFERROR(VLOOKUP(December[[#This Row],[Drug Name]],'Data Options'!$R$1:$S$100,2,FALSE), " ")</f>
        <v xml:space="preserve"> </v>
      </c>
      <c r="R186" s="32"/>
      <c r="S186" s="32"/>
      <c r="T186" s="53"/>
      <c r="U186" s="54" t="str">
        <f>IFERROR(VLOOKUP(December[[#This Row],[Drug Name2]],'Data Options'!$R$1:$S$100,2,FALSE), " ")</f>
        <v xml:space="preserve"> </v>
      </c>
      <c r="V186" s="32"/>
      <c r="W186" s="32"/>
      <c r="X186" s="53"/>
      <c r="Y186" s="54" t="str">
        <f>IFERROR(VLOOKUP(December[[#This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54" t="str">
        <f>IFERROR(VLOOKUP(December[[#This Row],[Drug Name4]],'Data Options'!$R$1:$S$100,2,FALSE), " ")</f>
        <v xml:space="preserve"> </v>
      </c>
      <c r="AI186" s="32"/>
      <c r="AJ186" s="32"/>
      <c r="AK186" s="53"/>
      <c r="AL186" s="54" t="str">
        <f>IFERROR(VLOOKUP(December[[#This Row],[Drug Name5]],'Data Options'!$R$1:$S$100,2,FALSE), " ")</f>
        <v xml:space="preserve"> </v>
      </c>
      <c r="AM186" s="32"/>
      <c r="AN186" s="32"/>
      <c r="AO186" s="53"/>
      <c r="AP186" s="54" t="str">
        <f>IFERROR(VLOOKUP(December[[#This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54" t="str">
        <f>IFERROR(VLOOKUP(December[[#This Row],[Drug Name7]],'Data Options'!$R$1:$S$100,2,FALSE), " ")</f>
        <v xml:space="preserve"> </v>
      </c>
      <c r="AZ186" s="32"/>
      <c r="BA186" s="32"/>
      <c r="BB186" s="53"/>
      <c r="BC186" s="54" t="str">
        <f>IFERROR(VLOOKUP(December[[#This Row],[Drug Name8]],'Data Options'!$R$1:$S$100,2,FALSE), " ")</f>
        <v xml:space="preserve"> </v>
      </c>
      <c r="BD186" s="32"/>
      <c r="BE186" s="32"/>
      <c r="BF186" s="53"/>
      <c r="BG186" s="54" t="str">
        <f>IFERROR(VLOOKUP(December[[#This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54" t="str">
        <f>IFERROR(VLOOKUP(December[[#This Row],[Drug Name]],'Data Options'!$R$1:$S$100,2,FALSE), " ")</f>
        <v xml:space="preserve"> </v>
      </c>
      <c r="R187" s="32"/>
      <c r="S187" s="32"/>
      <c r="T187" s="53"/>
      <c r="U187" s="54" t="str">
        <f>IFERROR(VLOOKUP(December[[#This Row],[Drug Name2]],'Data Options'!$R$1:$S$100,2,FALSE), " ")</f>
        <v xml:space="preserve"> </v>
      </c>
      <c r="V187" s="32"/>
      <c r="W187" s="32"/>
      <c r="X187" s="53"/>
      <c r="Y187" s="54" t="str">
        <f>IFERROR(VLOOKUP(December[[#This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54" t="str">
        <f>IFERROR(VLOOKUP(December[[#This Row],[Drug Name4]],'Data Options'!$R$1:$S$100,2,FALSE), " ")</f>
        <v xml:space="preserve"> </v>
      </c>
      <c r="AI187" s="32"/>
      <c r="AJ187" s="32"/>
      <c r="AK187" s="53"/>
      <c r="AL187" s="54" t="str">
        <f>IFERROR(VLOOKUP(December[[#This Row],[Drug Name5]],'Data Options'!$R$1:$S$100,2,FALSE), " ")</f>
        <v xml:space="preserve"> </v>
      </c>
      <c r="AM187" s="32"/>
      <c r="AN187" s="32"/>
      <c r="AO187" s="53"/>
      <c r="AP187" s="54" t="str">
        <f>IFERROR(VLOOKUP(December[[#This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54" t="str">
        <f>IFERROR(VLOOKUP(December[[#This Row],[Drug Name7]],'Data Options'!$R$1:$S$100,2,FALSE), " ")</f>
        <v xml:space="preserve"> </v>
      </c>
      <c r="AZ187" s="32"/>
      <c r="BA187" s="32"/>
      <c r="BB187" s="53"/>
      <c r="BC187" s="54" t="str">
        <f>IFERROR(VLOOKUP(December[[#This Row],[Drug Name8]],'Data Options'!$R$1:$S$100,2,FALSE), " ")</f>
        <v xml:space="preserve"> </v>
      </c>
      <c r="BD187" s="32"/>
      <c r="BE187" s="32"/>
      <c r="BF187" s="53"/>
      <c r="BG187" s="54" t="str">
        <f>IFERROR(VLOOKUP(December[[#This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54" t="str">
        <f>IFERROR(VLOOKUP(December[[#This Row],[Drug Name]],'Data Options'!$R$1:$S$100,2,FALSE), " ")</f>
        <v xml:space="preserve"> </v>
      </c>
      <c r="R188" s="32"/>
      <c r="S188" s="32"/>
      <c r="T188" s="53"/>
      <c r="U188" s="54" t="str">
        <f>IFERROR(VLOOKUP(December[[#This Row],[Drug Name2]],'Data Options'!$R$1:$S$100,2,FALSE), " ")</f>
        <v xml:space="preserve"> </v>
      </c>
      <c r="V188" s="32"/>
      <c r="W188" s="32"/>
      <c r="X188" s="53"/>
      <c r="Y188" s="54" t="str">
        <f>IFERROR(VLOOKUP(December[[#This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54" t="str">
        <f>IFERROR(VLOOKUP(December[[#This Row],[Drug Name4]],'Data Options'!$R$1:$S$100,2,FALSE), " ")</f>
        <v xml:space="preserve"> </v>
      </c>
      <c r="AI188" s="32"/>
      <c r="AJ188" s="32"/>
      <c r="AK188" s="53"/>
      <c r="AL188" s="54" t="str">
        <f>IFERROR(VLOOKUP(December[[#This Row],[Drug Name5]],'Data Options'!$R$1:$S$100,2,FALSE), " ")</f>
        <v xml:space="preserve"> </v>
      </c>
      <c r="AM188" s="32"/>
      <c r="AN188" s="32"/>
      <c r="AO188" s="53"/>
      <c r="AP188" s="54" t="str">
        <f>IFERROR(VLOOKUP(December[[#This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54" t="str">
        <f>IFERROR(VLOOKUP(December[[#This Row],[Drug Name7]],'Data Options'!$R$1:$S$100,2,FALSE), " ")</f>
        <v xml:space="preserve"> </v>
      </c>
      <c r="AZ188" s="32"/>
      <c r="BA188" s="32"/>
      <c r="BB188" s="53"/>
      <c r="BC188" s="54" t="str">
        <f>IFERROR(VLOOKUP(December[[#This Row],[Drug Name8]],'Data Options'!$R$1:$S$100,2,FALSE), " ")</f>
        <v xml:space="preserve"> </v>
      </c>
      <c r="BD188" s="32"/>
      <c r="BE188" s="32"/>
      <c r="BF188" s="53"/>
      <c r="BG188" s="54" t="str">
        <f>IFERROR(VLOOKUP(December[[#This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54" t="str">
        <f>IFERROR(VLOOKUP(December[[#This Row],[Drug Name]],'Data Options'!$R$1:$S$100,2,FALSE), " ")</f>
        <v xml:space="preserve"> </v>
      </c>
      <c r="R189" s="32"/>
      <c r="S189" s="32"/>
      <c r="T189" s="53"/>
      <c r="U189" s="54" t="str">
        <f>IFERROR(VLOOKUP(December[[#This Row],[Drug Name2]],'Data Options'!$R$1:$S$100,2,FALSE), " ")</f>
        <v xml:space="preserve"> </v>
      </c>
      <c r="V189" s="32"/>
      <c r="W189" s="32"/>
      <c r="X189" s="53"/>
      <c r="Y189" s="54" t="str">
        <f>IFERROR(VLOOKUP(December[[#This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54" t="str">
        <f>IFERROR(VLOOKUP(December[[#This Row],[Drug Name4]],'Data Options'!$R$1:$S$100,2,FALSE), " ")</f>
        <v xml:space="preserve"> </v>
      </c>
      <c r="AI189" s="32"/>
      <c r="AJ189" s="32"/>
      <c r="AK189" s="53"/>
      <c r="AL189" s="54" t="str">
        <f>IFERROR(VLOOKUP(December[[#This Row],[Drug Name5]],'Data Options'!$R$1:$S$100,2,FALSE), " ")</f>
        <v xml:space="preserve"> </v>
      </c>
      <c r="AM189" s="32"/>
      <c r="AN189" s="32"/>
      <c r="AO189" s="53"/>
      <c r="AP189" s="54" t="str">
        <f>IFERROR(VLOOKUP(December[[#This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54" t="str">
        <f>IFERROR(VLOOKUP(December[[#This Row],[Drug Name7]],'Data Options'!$R$1:$S$100,2,FALSE), " ")</f>
        <v xml:space="preserve"> </v>
      </c>
      <c r="AZ189" s="32"/>
      <c r="BA189" s="32"/>
      <c r="BB189" s="53"/>
      <c r="BC189" s="54" t="str">
        <f>IFERROR(VLOOKUP(December[[#This Row],[Drug Name8]],'Data Options'!$R$1:$S$100,2,FALSE), " ")</f>
        <v xml:space="preserve"> </v>
      </c>
      <c r="BD189" s="32"/>
      <c r="BE189" s="32"/>
      <c r="BF189" s="53"/>
      <c r="BG189" s="54" t="str">
        <f>IFERROR(VLOOKUP(December[[#This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54" t="str">
        <f>IFERROR(VLOOKUP(December[[#This Row],[Drug Name]],'Data Options'!$R$1:$S$100,2,FALSE), " ")</f>
        <v xml:space="preserve"> </v>
      </c>
      <c r="R190" s="32"/>
      <c r="S190" s="32"/>
      <c r="T190" s="53"/>
      <c r="U190" s="54" t="str">
        <f>IFERROR(VLOOKUP(December[[#This Row],[Drug Name2]],'Data Options'!$R$1:$S$100,2,FALSE), " ")</f>
        <v xml:space="preserve"> </v>
      </c>
      <c r="V190" s="32"/>
      <c r="W190" s="32"/>
      <c r="X190" s="53"/>
      <c r="Y190" s="54" t="str">
        <f>IFERROR(VLOOKUP(December[[#This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54" t="str">
        <f>IFERROR(VLOOKUP(December[[#This Row],[Drug Name4]],'Data Options'!$R$1:$S$100,2,FALSE), " ")</f>
        <v xml:space="preserve"> </v>
      </c>
      <c r="AI190" s="32"/>
      <c r="AJ190" s="32"/>
      <c r="AK190" s="53"/>
      <c r="AL190" s="54" t="str">
        <f>IFERROR(VLOOKUP(December[[#This Row],[Drug Name5]],'Data Options'!$R$1:$S$100,2,FALSE), " ")</f>
        <v xml:space="preserve"> </v>
      </c>
      <c r="AM190" s="32"/>
      <c r="AN190" s="32"/>
      <c r="AO190" s="53"/>
      <c r="AP190" s="54" t="str">
        <f>IFERROR(VLOOKUP(December[[#This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54" t="str">
        <f>IFERROR(VLOOKUP(December[[#This Row],[Drug Name7]],'Data Options'!$R$1:$S$100,2,FALSE), " ")</f>
        <v xml:space="preserve"> </v>
      </c>
      <c r="AZ190" s="32"/>
      <c r="BA190" s="32"/>
      <c r="BB190" s="53"/>
      <c r="BC190" s="54" t="str">
        <f>IFERROR(VLOOKUP(December[[#This Row],[Drug Name8]],'Data Options'!$R$1:$S$100,2,FALSE), " ")</f>
        <v xml:space="preserve"> </v>
      </c>
      <c r="BD190" s="32"/>
      <c r="BE190" s="32"/>
      <c r="BF190" s="53"/>
      <c r="BG190" s="54" t="str">
        <f>IFERROR(VLOOKUP(December[[#This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54" t="str">
        <f>IFERROR(VLOOKUP(December[[#This Row],[Drug Name]],'Data Options'!$R$1:$S$100,2,FALSE), " ")</f>
        <v xml:space="preserve"> </v>
      </c>
      <c r="R191" s="32"/>
      <c r="S191" s="32"/>
      <c r="T191" s="53"/>
      <c r="U191" s="54" t="str">
        <f>IFERROR(VLOOKUP(December[[#This Row],[Drug Name2]],'Data Options'!$R$1:$S$100,2,FALSE), " ")</f>
        <v xml:space="preserve"> </v>
      </c>
      <c r="V191" s="32"/>
      <c r="W191" s="32"/>
      <c r="X191" s="53"/>
      <c r="Y191" s="54" t="str">
        <f>IFERROR(VLOOKUP(December[[#This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54" t="str">
        <f>IFERROR(VLOOKUP(December[[#This Row],[Drug Name4]],'Data Options'!$R$1:$S$100,2,FALSE), " ")</f>
        <v xml:space="preserve"> </v>
      </c>
      <c r="AI191" s="32"/>
      <c r="AJ191" s="32"/>
      <c r="AK191" s="53"/>
      <c r="AL191" s="54" t="str">
        <f>IFERROR(VLOOKUP(December[[#This Row],[Drug Name5]],'Data Options'!$R$1:$S$100,2,FALSE), " ")</f>
        <v xml:space="preserve"> </v>
      </c>
      <c r="AM191" s="32"/>
      <c r="AN191" s="32"/>
      <c r="AO191" s="53"/>
      <c r="AP191" s="54" t="str">
        <f>IFERROR(VLOOKUP(December[[#This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54" t="str">
        <f>IFERROR(VLOOKUP(December[[#This Row],[Drug Name7]],'Data Options'!$R$1:$S$100,2,FALSE), " ")</f>
        <v xml:space="preserve"> </v>
      </c>
      <c r="AZ191" s="32"/>
      <c r="BA191" s="32"/>
      <c r="BB191" s="53"/>
      <c r="BC191" s="54" t="str">
        <f>IFERROR(VLOOKUP(December[[#This Row],[Drug Name8]],'Data Options'!$R$1:$S$100,2,FALSE), " ")</f>
        <v xml:space="preserve"> </v>
      </c>
      <c r="BD191" s="32"/>
      <c r="BE191" s="32"/>
      <c r="BF191" s="53"/>
      <c r="BG191" s="54" t="str">
        <f>IFERROR(VLOOKUP(December[[#This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54" t="str">
        <f>IFERROR(VLOOKUP(December[[#This Row],[Drug Name]],'Data Options'!$R$1:$S$100,2,FALSE), " ")</f>
        <v xml:space="preserve"> </v>
      </c>
      <c r="R192" s="32"/>
      <c r="S192" s="32"/>
      <c r="T192" s="53"/>
      <c r="U192" s="54" t="str">
        <f>IFERROR(VLOOKUP(December[[#This Row],[Drug Name2]],'Data Options'!$R$1:$S$100,2,FALSE), " ")</f>
        <v xml:space="preserve"> </v>
      </c>
      <c r="V192" s="32"/>
      <c r="W192" s="32"/>
      <c r="X192" s="53"/>
      <c r="Y192" s="54" t="str">
        <f>IFERROR(VLOOKUP(December[[#This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54" t="str">
        <f>IFERROR(VLOOKUP(December[[#This Row],[Drug Name4]],'Data Options'!$R$1:$S$100,2,FALSE), " ")</f>
        <v xml:space="preserve"> </v>
      </c>
      <c r="AI192" s="32"/>
      <c r="AJ192" s="32"/>
      <c r="AK192" s="53"/>
      <c r="AL192" s="54" t="str">
        <f>IFERROR(VLOOKUP(December[[#This Row],[Drug Name5]],'Data Options'!$R$1:$S$100,2,FALSE), " ")</f>
        <v xml:space="preserve"> </v>
      </c>
      <c r="AM192" s="32"/>
      <c r="AN192" s="32"/>
      <c r="AO192" s="53"/>
      <c r="AP192" s="54" t="str">
        <f>IFERROR(VLOOKUP(December[[#This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54" t="str">
        <f>IFERROR(VLOOKUP(December[[#This Row],[Drug Name7]],'Data Options'!$R$1:$S$100,2,FALSE), " ")</f>
        <v xml:space="preserve"> </v>
      </c>
      <c r="AZ192" s="32"/>
      <c r="BA192" s="32"/>
      <c r="BB192" s="53"/>
      <c r="BC192" s="54" t="str">
        <f>IFERROR(VLOOKUP(December[[#This Row],[Drug Name8]],'Data Options'!$R$1:$S$100,2,FALSE), " ")</f>
        <v xml:space="preserve"> </v>
      </c>
      <c r="BD192" s="32"/>
      <c r="BE192" s="32"/>
      <c r="BF192" s="53"/>
      <c r="BG192" s="54" t="str">
        <f>IFERROR(VLOOKUP(December[[#This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54" t="str">
        <f>IFERROR(VLOOKUP(December[[#This Row],[Drug Name]],'Data Options'!$R$1:$S$100,2,FALSE), " ")</f>
        <v xml:space="preserve"> </v>
      </c>
      <c r="R193" s="32"/>
      <c r="S193" s="32"/>
      <c r="T193" s="53"/>
      <c r="U193" s="54" t="str">
        <f>IFERROR(VLOOKUP(December[[#This Row],[Drug Name2]],'Data Options'!$R$1:$S$100,2,FALSE), " ")</f>
        <v xml:space="preserve"> </v>
      </c>
      <c r="V193" s="32"/>
      <c r="W193" s="32"/>
      <c r="X193" s="53"/>
      <c r="Y193" s="54" t="str">
        <f>IFERROR(VLOOKUP(December[[#This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54" t="str">
        <f>IFERROR(VLOOKUP(December[[#This Row],[Drug Name4]],'Data Options'!$R$1:$S$100,2,FALSE), " ")</f>
        <v xml:space="preserve"> </v>
      </c>
      <c r="AI193" s="32"/>
      <c r="AJ193" s="32"/>
      <c r="AK193" s="53"/>
      <c r="AL193" s="54" t="str">
        <f>IFERROR(VLOOKUP(December[[#This Row],[Drug Name5]],'Data Options'!$R$1:$S$100,2,FALSE), " ")</f>
        <v xml:space="preserve"> </v>
      </c>
      <c r="AM193" s="32"/>
      <c r="AN193" s="32"/>
      <c r="AO193" s="53"/>
      <c r="AP193" s="54" t="str">
        <f>IFERROR(VLOOKUP(December[[#This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54" t="str">
        <f>IFERROR(VLOOKUP(December[[#This Row],[Drug Name7]],'Data Options'!$R$1:$S$100,2,FALSE), " ")</f>
        <v xml:space="preserve"> </v>
      </c>
      <c r="AZ193" s="32"/>
      <c r="BA193" s="32"/>
      <c r="BB193" s="53"/>
      <c r="BC193" s="54" t="str">
        <f>IFERROR(VLOOKUP(December[[#This Row],[Drug Name8]],'Data Options'!$R$1:$S$100,2,FALSE), " ")</f>
        <v xml:space="preserve"> </v>
      </c>
      <c r="BD193" s="32"/>
      <c r="BE193" s="32"/>
      <c r="BF193" s="53"/>
      <c r="BG193" s="54" t="str">
        <f>IFERROR(VLOOKUP(December[[#This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54" t="str">
        <f>IFERROR(VLOOKUP(December[[#This Row],[Drug Name]],'Data Options'!$R$1:$S$100,2,FALSE), " ")</f>
        <v xml:space="preserve"> </v>
      </c>
      <c r="R194" s="32"/>
      <c r="S194" s="32"/>
      <c r="T194" s="53"/>
      <c r="U194" s="54" t="str">
        <f>IFERROR(VLOOKUP(December[[#This Row],[Drug Name2]],'Data Options'!$R$1:$S$100,2,FALSE), " ")</f>
        <v xml:space="preserve"> </v>
      </c>
      <c r="V194" s="32"/>
      <c r="W194" s="32"/>
      <c r="X194" s="53"/>
      <c r="Y194" s="54" t="str">
        <f>IFERROR(VLOOKUP(December[[#This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54" t="str">
        <f>IFERROR(VLOOKUP(December[[#This Row],[Drug Name4]],'Data Options'!$R$1:$S$100,2,FALSE), " ")</f>
        <v xml:space="preserve"> </v>
      </c>
      <c r="AI194" s="32"/>
      <c r="AJ194" s="32"/>
      <c r="AK194" s="53"/>
      <c r="AL194" s="54" t="str">
        <f>IFERROR(VLOOKUP(December[[#This Row],[Drug Name5]],'Data Options'!$R$1:$S$100,2,FALSE), " ")</f>
        <v xml:space="preserve"> </v>
      </c>
      <c r="AM194" s="32"/>
      <c r="AN194" s="32"/>
      <c r="AO194" s="53"/>
      <c r="AP194" s="54" t="str">
        <f>IFERROR(VLOOKUP(December[[#This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54" t="str">
        <f>IFERROR(VLOOKUP(December[[#This Row],[Drug Name7]],'Data Options'!$R$1:$S$100,2,FALSE), " ")</f>
        <v xml:space="preserve"> </v>
      </c>
      <c r="AZ194" s="32"/>
      <c r="BA194" s="32"/>
      <c r="BB194" s="53"/>
      <c r="BC194" s="54" t="str">
        <f>IFERROR(VLOOKUP(December[[#This Row],[Drug Name8]],'Data Options'!$R$1:$S$100,2,FALSE), " ")</f>
        <v xml:space="preserve"> </v>
      </c>
      <c r="BD194" s="32"/>
      <c r="BE194" s="32"/>
      <c r="BF194" s="53"/>
      <c r="BG194" s="54" t="str">
        <f>IFERROR(VLOOKUP(December[[#This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54" t="str">
        <f>IFERROR(VLOOKUP(December[[#This Row],[Drug Name]],'Data Options'!$R$1:$S$100,2,FALSE), " ")</f>
        <v xml:space="preserve"> </v>
      </c>
      <c r="R195" s="32"/>
      <c r="S195" s="32"/>
      <c r="T195" s="53"/>
      <c r="U195" s="54" t="str">
        <f>IFERROR(VLOOKUP(December[[#This Row],[Drug Name2]],'Data Options'!$R$1:$S$100,2,FALSE), " ")</f>
        <v xml:space="preserve"> </v>
      </c>
      <c r="V195" s="32"/>
      <c r="W195" s="32"/>
      <c r="X195" s="53"/>
      <c r="Y195" s="54" t="str">
        <f>IFERROR(VLOOKUP(December[[#This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54" t="str">
        <f>IFERROR(VLOOKUP(December[[#This Row],[Drug Name4]],'Data Options'!$R$1:$S$100,2,FALSE), " ")</f>
        <v xml:space="preserve"> </v>
      </c>
      <c r="AI195" s="32"/>
      <c r="AJ195" s="32"/>
      <c r="AK195" s="53"/>
      <c r="AL195" s="54" t="str">
        <f>IFERROR(VLOOKUP(December[[#This Row],[Drug Name5]],'Data Options'!$R$1:$S$100,2,FALSE), " ")</f>
        <v xml:space="preserve"> </v>
      </c>
      <c r="AM195" s="32"/>
      <c r="AN195" s="32"/>
      <c r="AO195" s="53"/>
      <c r="AP195" s="54" t="str">
        <f>IFERROR(VLOOKUP(December[[#This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54" t="str">
        <f>IFERROR(VLOOKUP(December[[#This Row],[Drug Name7]],'Data Options'!$R$1:$S$100,2,FALSE), " ")</f>
        <v xml:space="preserve"> </v>
      </c>
      <c r="AZ195" s="32"/>
      <c r="BA195" s="32"/>
      <c r="BB195" s="53"/>
      <c r="BC195" s="54" t="str">
        <f>IFERROR(VLOOKUP(December[[#This Row],[Drug Name8]],'Data Options'!$R$1:$S$100,2,FALSE), " ")</f>
        <v xml:space="preserve"> </v>
      </c>
      <c r="BD195" s="32"/>
      <c r="BE195" s="32"/>
      <c r="BF195" s="53"/>
      <c r="BG195" s="54" t="str">
        <f>IFERROR(VLOOKUP(December[[#This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54" t="str">
        <f>IFERROR(VLOOKUP(December[[#This Row],[Drug Name]],'Data Options'!$R$1:$S$100,2,FALSE), " ")</f>
        <v xml:space="preserve"> </v>
      </c>
      <c r="R196" s="32"/>
      <c r="S196" s="32"/>
      <c r="T196" s="53"/>
      <c r="U196" s="54" t="str">
        <f>IFERROR(VLOOKUP(December[[#This Row],[Drug Name2]],'Data Options'!$R$1:$S$100,2,FALSE), " ")</f>
        <v xml:space="preserve"> </v>
      </c>
      <c r="V196" s="32"/>
      <c r="W196" s="32"/>
      <c r="X196" s="53"/>
      <c r="Y196" s="54" t="str">
        <f>IFERROR(VLOOKUP(December[[#This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54" t="str">
        <f>IFERROR(VLOOKUP(December[[#This Row],[Drug Name4]],'Data Options'!$R$1:$S$100,2,FALSE), " ")</f>
        <v xml:space="preserve"> </v>
      </c>
      <c r="AI196" s="32"/>
      <c r="AJ196" s="32"/>
      <c r="AK196" s="53"/>
      <c r="AL196" s="54" t="str">
        <f>IFERROR(VLOOKUP(December[[#This Row],[Drug Name5]],'Data Options'!$R$1:$S$100,2,FALSE), " ")</f>
        <v xml:space="preserve"> </v>
      </c>
      <c r="AM196" s="32"/>
      <c r="AN196" s="32"/>
      <c r="AO196" s="53"/>
      <c r="AP196" s="54" t="str">
        <f>IFERROR(VLOOKUP(December[[#This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54" t="str">
        <f>IFERROR(VLOOKUP(December[[#This Row],[Drug Name7]],'Data Options'!$R$1:$S$100,2,FALSE), " ")</f>
        <v xml:space="preserve"> </v>
      </c>
      <c r="AZ196" s="32"/>
      <c r="BA196" s="32"/>
      <c r="BB196" s="53"/>
      <c r="BC196" s="54" t="str">
        <f>IFERROR(VLOOKUP(December[[#This Row],[Drug Name8]],'Data Options'!$R$1:$S$100,2,FALSE), " ")</f>
        <v xml:space="preserve"> </v>
      </c>
      <c r="BD196" s="32"/>
      <c r="BE196" s="32"/>
      <c r="BF196" s="53"/>
      <c r="BG196" s="54" t="str">
        <f>IFERROR(VLOOKUP(December[[#This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54" t="str">
        <f>IFERROR(VLOOKUP(December[[#This Row],[Drug Name]],'Data Options'!$R$1:$S$100,2,FALSE), " ")</f>
        <v xml:space="preserve"> </v>
      </c>
      <c r="R197" s="32"/>
      <c r="S197" s="32"/>
      <c r="T197" s="53"/>
      <c r="U197" s="54" t="str">
        <f>IFERROR(VLOOKUP(December[[#This Row],[Drug Name2]],'Data Options'!$R$1:$S$100,2,FALSE), " ")</f>
        <v xml:space="preserve"> </v>
      </c>
      <c r="V197" s="32"/>
      <c r="W197" s="32"/>
      <c r="X197" s="53"/>
      <c r="Y197" s="54" t="str">
        <f>IFERROR(VLOOKUP(December[[#This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54" t="str">
        <f>IFERROR(VLOOKUP(December[[#This Row],[Drug Name4]],'Data Options'!$R$1:$S$100,2,FALSE), " ")</f>
        <v xml:space="preserve"> </v>
      </c>
      <c r="AI197" s="32"/>
      <c r="AJ197" s="32"/>
      <c r="AK197" s="53"/>
      <c r="AL197" s="54" t="str">
        <f>IFERROR(VLOOKUP(December[[#This Row],[Drug Name5]],'Data Options'!$R$1:$S$100,2,FALSE), " ")</f>
        <v xml:space="preserve"> </v>
      </c>
      <c r="AM197" s="32"/>
      <c r="AN197" s="32"/>
      <c r="AO197" s="53"/>
      <c r="AP197" s="54" t="str">
        <f>IFERROR(VLOOKUP(December[[#This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54" t="str">
        <f>IFERROR(VLOOKUP(December[[#This Row],[Drug Name7]],'Data Options'!$R$1:$S$100,2,FALSE), " ")</f>
        <v xml:space="preserve"> </v>
      </c>
      <c r="AZ197" s="32"/>
      <c r="BA197" s="32"/>
      <c r="BB197" s="53"/>
      <c r="BC197" s="54" t="str">
        <f>IFERROR(VLOOKUP(December[[#This Row],[Drug Name8]],'Data Options'!$R$1:$S$100,2,FALSE), " ")</f>
        <v xml:space="preserve"> </v>
      </c>
      <c r="BD197" s="32"/>
      <c r="BE197" s="32"/>
      <c r="BF197" s="53"/>
      <c r="BG197" s="54" t="str">
        <f>IFERROR(VLOOKUP(December[[#This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54" t="str">
        <f>IFERROR(VLOOKUP(December[[#This Row],[Drug Name]],'Data Options'!$R$1:$S$100,2,FALSE), " ")</f>
        <v xml:space="preserve"> </v>
      </c>
      <c r="R198" s="32"/>
      <c r="S198" s="32"/>
      <c r="T198" s="53"/>
      <c r="U198" s="54" t="str">
        <f>IFERROR(VLOOKUP(December[[#This Row],[Drug Name2]],'Data Options'!$R$1:$S$100,2,FALSE), " ")</f>
        <v xml:space="preserve"> </v>
      </c>
      <c r="V198" s="32"/>
      <c r="W198" s="32"/>
      <c r="X198" s="53"/>
      <c r="Y198" s="54" t="str">
        <f>IFERROR(VLOOKUP(December[[#This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54" t="str">
        <f>IFERROR(VLOOKUP(December[[#This Row],[Drug Name4]],'Data Options'!$R$1:$S$100,2,FALSE), " ")</f>
        <v xml:space="preserve"> </v>
      </c>
      <c r="AI198" s="32"/>
      <c r="AJ198" s="32"/>
      <c r="AK198" s="53"/>
      <c r="AL198" s="54" t="str">
        <f>IFERROR(VLOOKUP(December[[#This Row],[Drug Name5]],'Data Options'!$R$1:$S$100,2,FALSE), " ")</f>
        <v xml:space="preserve"> </v>
      </c>
      <c r="AM198" s="32"/>
      <c r="AN198" s="32"/>
      <c r="AO198" s="53"/>
      <c r="AP198" s="54" t="str">
        <f>IFERROR(VLOOKUP(December[[#This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54" t="str">
        <f>IFERROR(VLOOKUP(December[[#This Row],[Drug Name7]],'Data Options'!$R$1:$S$100,2,FALSE), " ")</f>
        <v xml:space="preserve"> </v>
      </c>
      <c r="AZ198" s="32"/>
      <c r="BA198" s="32"/>
      <c r="BB198" s="53"/>
      <c r="BC198" s="54" t="str">
        <f>IFERROR(VLOOKUP(December[[#This Row],[Drug Name8]],'Data Options'!$R$1:$S$100,2,FALSE), " ")</f>
        <v xml:space="preserve"> </v>
      </c>
      <c r="BD198" s="32"/>
      <c r="BE198" s="32"/>
      <c r="BF198" s="53"/>
      <c r="BG198" s="54" t="str">
        <f>IFERROR(VLOOKUP(December[[#This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54" t="str">
        <f>IFERROR(VLOOKUP(December[[#This Row],[Drug Name]],'Data Options'!$R$1:$S$100,2,FALSE), " ")</f>
        <v xml:space="preserve"> </v>
      </c>
      <c r="R199" s="32"/>
      <c r="S199" s="32"/>
      <c r="T199" s="53"/>
      <c r="U199" s="54" t="str">
        <f>IFERROR(VLOOKUP(December[[#This Row],[Drug Name2]],'Data Options'!$R$1:$S$100,2,FALSE), " ")</f>
        <v xml:space="preserve"> </v>
      </c>
      <c r="V199" s="32"/>
      <c r="W199" s="32"/>
      <c r="X199" s="53"/>
      <c r="Y199" s="54" t="str">
        <f>IFERROR(VLOOKUP(December[[#This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54" t="str">
        <f>IFERROR(VLOOKUP(December[[#This Row],[Drug Name4]],'Data Options'!$R$1:$S$100,2,FALSE), " ")</f>
        <v xml:space="preserve"> </v>
      </c>
      <c r="AI199" s="32"/>
      <c r="AJ199" s="32"/>
      <c r="AK199" s="53"/>
      <c r="AL199" s="54" t="str">
        <f>IFERROR(VLOOKUP(December[[#This Row],[Drug Name5]],'Data Options'!$R$1:$S$100,2,FALSE), " ")</f>
        <v xml:space="preserve"> </v>
      </c>
      <c r="AM199" s="32"/>
      <c r="AN199" s="32"/>
      <c r="AO199" s="53"/>
      <c r="AP199" s="54" t="str">
        <f>IFERROR(VLOOKUP(December[[#This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54" t="str">
        <f>IFERROR(VLOOKUP(December[[#This Row],[Drug Name7]],'Data Options'!$R$1:$S$100,2,FALSE), " ")</f>
        <v xml:space="preserve"> </v>
      </c>
      <c r="AZ199" s="32"/>
      <c r="BA199" s="32"/>
      <c r="BB199" s="53"/>
      <c r="BC199" s="54" t="str">
        <f>IFERROR(VLOOKUP(December[[#This Row],[Drug Name8]],'Data Options'!$R$1:$S$100,2,FALSE), " ")</f>
        <v xml:space="preserve"> </v>
      </c>
      <c r="BD199" s="32"/>
      <c r="BE199" s="32"/>
      <c r="BF199" s="53"/>
      <c r="BG199" s="54" t="str">
        <f>IFERROR(VLOOKUP(December[[#This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54" t="str">
        <f>IFERROR(VLOOKUP(December[[#This Row],[Drug Name]],'Data Options'!$R$1:$S$100,2,FALSE), " ")</f>
        <v xml:space="preserve"> </v>
      </c>
      <c r="R200" s="32"/>
      <c r="S200" s="32"/>
      <c r="T200" s="53"/>
      <c r="U200" s="54" t="str">
        <f>IFERROR(VLOOKUP(December[[#This Row],[Drug Name2]],'Data Options'!$R$1:$S$100,2,FALSE), " ")</f>
        <v xml:space="preserve"> </v>
      </c>
      <c r="V200" s="32"/>
      <c r="W200" s="32"/>
      <c r="X200" s="53"/>
      <c r="Y200" s="54" t="str">
        <f>IFERROR(VLOOKUP(December[[#This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54" t="str">
        <f>IFERROR(VLOOKUP(December[[#This Row],[Drug Name4]],'Data Options'!$R$1:$S$100,2,FALSE), " ")</f>
        <v xml:space="preserve"> </v>
      </c>
      <c r="AI200" s="32"/>
      <c r="AJ200" s="32"/>
      <c r="AK200" s="53"/>
      <c r="AL200" s="54" t="str">
        <f>IFERROR(VLOOKUP(December[[#This Row],[Drug Name5]],'Data Options'!$R$1:$S$100,2,FALSE), " ")</f>
        <v xml:space="preserve"> </v>
      </c>
      <c r="AM200" s="32"/>
      <c r="AN200" s="32"/>
      <c r="AO200" s="53"/>
      <c r="AP200" s="54" t="str">
        <f>IFERROR(VLOOKUP(December[[#This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54" t="str">
        <f>IFERROR(VLOOKUP(December[[#This Row],[Drug Name7]],'Data Options'!$R$1:$S$100,2,FALSE), " ")</f>
        <v xml:space="preserve"> </v>
      </c>
      <c r="AZ200" s="32"/>
      <c r="BA200" s="32"/>
      <c r="BB200" s="53"/>
      <c r="BC200" s="54" t="str">
        <f>IFERROR(VLOOKUP(December[[#This Row],[Drug Name8]],'Data Options'!$R$1:$S$100,2,FALSE), " ")</f>
        <v xml:space="preserve"> </v>
      </c>
      <c r="BD200" s="32"/>
      <c r="BE200" s="32"/>
      <c r="BF200" s="53"/>
      <c r="BG200" s="54" t="str">
        <f>IFERROR(VLOOKUP(December[[#This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54" t="str">
        <f>IFERROR(VLOOKUP(December[[#This Row],[Drug Name]],'Data Options'!$R$1:$S$100,2,FALSE), " ")</f>
        <v xml:space="preserve"> </v>
      </c>
      <c r="R201" s="32"/>
      <c r="S201" s="32"/>
      <c r="T201" s="53"/>
      <c r="U201" s="54" t="str">
        <f>IFERROR(VLOOKUP(December[[#This Row],[Drug Name2]],'Data Options'!$R$1:$S$100,2,FALSE), " ")</f>
        <v xml:space="preserve"> </v>
      </c>
      <c r="V201" s="32"/>
      <c r="W201" s="32"/>
      <c r="X201" s="53"/>
      <c r="Y201" s="54" t="str">
        <f>IFERROR(VLOOKUP(December[[#This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54" t="str">
        <f>IFERROR(VLOOKUP(December[[#This Row],[Drug Name4]],'Data Options'!$R$1:$S$100,2,FALSE), " ")</f>
        <v xml:space="preserve"> </v>
      </c>
      <c r="AI201" s="32"/>
      <c r="AJ201" s="32"/>
      <c r="AK201" s="53"/>
      <c r="AL201" s="54" t="str">
        <f>IFERROR(VLOOKUP(December[[#This Row],[Drug Name5]],'Data Options'!$R$1:$S$100,2,FALSE), " ")</f>
        <v xml:space="preserve"> </v>
      </c>
      <c r="AM201" s="32"/>
      <c r="AN201" s="32"/>
      <c r="AO201" s="53"/>
      <c r="AP201" s="54" t="str">
        <f>IFERROR(VLOOKUP(December[[#This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54" t="str">
        <f>IFERROR(VLOOKUP(December[[#This Row],[Drug Name7]],'Data Options'!$R$1:$S$100,2,FALSE), " ")</f>
        <v xml:space="preserve"> </v>
      </c>
      <c r="AZ201" s="32"/>
      <c r="BA201" s="32"/>
      <c r="BB201" s="53"/>
      <c r="BC201" s="54" t="str">
        <f>IFERROR(VLOOKUP(December[[#This Row],[Drug Name8]],'Data Options'!$R$1:$S$100,2,FALSE), " ")</f>
        <v xml:space="preserve"> </v>
      </c>
      <c r="BD201" s="32"/>
      <c r="BE201" s="32"/>
      <c r="BF201" s="53"/>
      <c r="BG201" s="54" t="str">
        <f>IFERROR(VLOOKUP(December[[#This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7warSncZy+x/GrR4HJGTHRaiLbZxGkEjMjlJYLPAw0UnAxjU1raAKS9DS4K487JEbzEbNLIj1OQdV2Pq1GwvvQ==" saltValue="wRf2y1CcX3E87qMTbqWZAQ==" spinCount="100000" sheet="1" objects="1" scenarios="1"/>
  <mergeCells count="13">
    <mergeCell ref="AX2:BA2"/>
    <mergeCell ref="BB2:BE2"/>
    <mergeCell ref="BF2:BI2"/>
    <mergeCell ref="A1:J2"/>
    <mergeCell ref="K1:Y1"/>
    <mergeCell ref="AB1:AF2"/>
    <mergeCell ref="AS1:AW2"/>
    <mergeCell ref="K2:O2"/>
    <mergeCell ref="P2:S2"/>
    <mergeCell ref="T2:W2"/>
    <mergeCell ref="X2:AA2"/>
    <mergeCell ref="AG2:AJ2"/>
    <mergeCell ref="AO2:AR2"/>
  </mergeCells>
  <phoneticPr fontId="5" type="noConversion"/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workbookViewId="0">
      <selection activeCell="H10" sqref="H10"/>
    </sheetView>
  </sheetViews>
  <sheetFormatPr defaultColWidth="10.6640625" defaultRowHeight="15.5"/>
  <cols>
    <col min="4" max="4" width="16" customWidth="1"/>
    <col min="5" max="5" width="12.83203125" customWidth="1"/>
    <col min="6" max="6" width="13" customWidth="1"/>
    <col min="7" max="7" width="16.5" customWidth="1"/>
    <col min="9" max="9" width="26.6640625" customWidth="1"/>
    <col min="10" max="10" width="35.1640625" customWidth="1"/>
    <col min="11" max="11" width="16.5" customWidth="1"/>
    <col min="12" max="12" width="22.5" customWidth="1"/>
    <col min="14" max="14" width="19.83203125" customWidth="1"/>
    <col min="15" max="15" width="45" customWidth="1"/>
    <col min="16" max="16" width="39.33203125" customWidth="1"/>
    <col min="17" max="17" width="40.83203125" customWidth="1"/>
    <col min="18" max="18" width="34.5" customWidth="1"/>
    <col min="19" max="19" width="38.1640625" customWidth="1"/>
    <col min="21" max="21" width="12" customWidth="1"/>
    <col min="24" max="24" width="19.83203125" customWidth="1"/>
  </cols>
  <sheetData>
    <row r="1" spans="1:24" ht="18.5">
      <c r="A1" s="71" t="s">
        <v>207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8.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0" t="s">
        <v>151</v>
      </c>
      <c r="M2" s="70"/>
      <c r="N2" s="70"/>
      <c r="O2" s="70"/>
      <c r="P2" s="70"/>
      <c r="Q2" s="70"/>
      <c r="R2" s="4"/>
      <c r="S2" s="4"/>
      <c r="T2" s="4" t="s">
        <v>152</v>
      </c>
      <c r="U2" s="4"/>
      <c r="V2" s="4"/>
      <c r="W2" s="4"/>
      <c r="X2" s="4"/>
    </row>
    <row r="3" spans="1:24" ht="77.5">
      <c r="A3" s="1" t="s">
        <v>4</v>
      </c>
      <c r="B3" s="1" t="s">
        <v>199</v>
      </c>
      <c r="C3" s="1" t="s">
        <v>5</v>
      </c>
      <c r="D3" s="1" t="s">
        <v>6</v>
      </c>
      <c r="E3" s="1" t="s">
        <v>0</v>
      </c>
      <c r="F3" s="1" t="s">
        <v>111</v>
      </c>
      <c r="G3" s="1" t="s">
        <v>1</v>
      </c>
      <c r="H3" s="1" t="s">
        <v>150</v>
      </c>
      <c r="I3" s="1" t="s">
        <v>2</v>
      </c>
      <c r="J3" s="1" t="s">
        <v>7</v>
      </c>
      <c r="K3" s="1" t="s">
        <v>112</v>
      </c>
      <c r="L3" s="1" t="s">
        <v>82</v>
      </c>
      <c r="M3" s="1" t="s">
        <v>113</v>
      </c>
      <c r="N3" s="1" t="s">
        <v>83</v>
      </c>
      <c r="O3" s="1" t="s">
        <v>114</v>
      </c>
      <c r="P3" s="1" t="s">
        <v>115</v>
      </c>
      <c r="Q3" s="1" t="s">
        <v>116</v>
      </c>
      <c r="R3" s="5" t="s">
        <v>8</v>
      </c>
      <c r="S3" s="5" t="s">
        <v>3</v>
      </c>
      <c r="T3" s="1" t="s">
        <v>84</v>
      </c>
      <c r="U3" s="1" t="s">
        <v>65</v>
      </c>
      <c r="V3" s="1" t="s">
        <v>85</v>
      </c>
      <c r="W3" s="1" t="s">
        <v>9</v>
      </c>
      <c r="X3" s="1" t="s">
        <v>209</v>
      </c>
    </row>
    <row r="4" spans="1:24">
      <c r="A4" s="2" t="s">
        <v>10</v>
      </c>
      <c r="B4" s="2" t="s">
        <v>11</v>
      </c>
      <c r="C4" s="2" t="s">
        <v>11</v>
      </c>
      <c r="D4" s="2" t="s">
        <v>12</v>
      </c>
      <c r="E4" s="2" t="s">
        <v>16</v>
      </c>
      <c r="F4" s="2" t="s">
        <v>117</v>
      </c>
      <c r="G4" s="2" t="s">
        <v>18</v>
      </c>
      <c r="H4" s="2" t="s">
        <v>11</v>
      </c>
      <c r="I4" s="2" t="s">
        <v>22</v>
      </c>
      <c r="J4" s="2">
        <v>1</v>
      </c>
      <c r="K4" s="2" t="s">
        <v>11</v>
      </c>
      <c r="L4" s="2" t="s">
        <v>90</v>
      </c>
      <c r="M4" s="2" t="s">
        <v>118</v>
      </c>
      <c r="N4" s="2" t="s">
        <v>87</v>
      </c>
      <c r="O4" s="2">
        <v>1</v>
      </c>
      <c r="P4" s="3" t="s">
        <v>22</v>
      </c>
      <c r="Q4" s="3" t="s">
        <v>22</v>
      </c>
      <c r="R4" s="6" t="s">
        <v>25</v>
      </c>
      <c r="S4" t="s">
        <v>52</v>
      </c>
      <c r="T4" s="2" t="s">
        <v>66</v>
      </c>
      <c r="U4" s="2" t="s">
        <v>88</v>
      </c>
      <c r="V4" s="2" t="s">
        <v>121</v>
      </c>
      <c r="W4" s="2" t="s">
        <v>24</v>
      </c>
      <c r="X4" s="2" t="s">
        <v>210</v>
      </c>
    </row>
    <row r="5" spans="1:24">
      <c r="A5" s="2"/>
      <c r="B5" s="2"/>
      <c r="C5" s="2"/>
      <c r="D5" s="2" t="s">
        <v>13</v>
      </c>
      <c r="E5" s="2" t="s">
        <v>17</v>
      </c>
      <c r="F5" s="2" t="s">
        <v>218</v>
      </c>
      <c r="G5" s="2" t="s">
        <v>19</v>
      </c>
      <c r="H5" s="2"/>
      <c r="I5" s="2" t="s">
        <v>23</v>
      </c>
      <c r="J5" s="2">
        <v>2</v>
      </c>
      <c r="K5" s="2"/>
      <c r="L5" s="2" t="s">
        <v>86</v>
      </c>
      <c r="M5" s="2"/>
      <c r="N5" s="2" t="s">
        <v>91</v>
      </c>
      <c r="O5" s="2">
        <v>2</v>
      </c>
      <c r="P5" s="2" t="s">
        <v>23</v>
      </c>
      <c r="Q5" s="2" t="s">
        <v>23</v>
      </c>
      <c r="R5" s="6" t="s">
        <v>26</v>
      </c>
      <c r="S5" t="s">
        <v>53</v>
      </c>
      <c r="T5" s="2"/>
      <c r="U5" s="2" t="s">
        <v>92</v>
      </c>
      <c r="V5" s="2" t="s">
        <v>96</v>
      </c>
      <c r="W5" s="2"/>
      <c r="X5" s="2" t="s">
        <v>246</v>
      </c>
    </row>
    <row r="6" spans="1:24" ht="31">
      <c r="A6" s="2"/>
      <c r="B6" s="2"/>
      <c r="C6" s="2"/>
      <c r="D6" s="2"/>
      <c r="E6" s="2" t="s">
        <v>14</v>
      </c>
      <c r="F6" s="2" t="s">
        <v>219</v>
      </c>
      <c r="G6" s="2" t="s">
        <v>20</v>
      </c>
      <c r="H6" s="2"/>
      <c r="I6" s="2" t="s">
        <v>247</v>
      </c>
      <c r="J6" s="2">
        <v>3</v>
      </c>
      <c r="K6" s="2"/>
      <c r="L6" s="2" t="s">
        <v>102</v>
      </c>
      <c r="M6" s="2"/>
      <c r="N6" s="2" t="s">
        <v>94</v>
      </c>
      <c r="O6" s="2">
        <v>3</v>
      </c>
      <c r="P6" s="2"/>
      <c r="Q6" s="2"/>
      <c r="R6" s="6" t="s">
        <v>240</v>
      </c>
      <c r="S6" t="s">
        <v>119</v>
      </c>
      <c r="T6" s="2"/>
      <c r="U6" s="2" t="s">
        <v>95</v>
      </c>
      <c r="V6" s="2" t="s">
        <v>89</v>
      </c>
      <c r="W6" s="2"/>
      <c r="X6" s="2"/>
    </row>
    <row r="7" spans="1:24">
      <c r="A7" s="2"/>
      <c r="B7" s="2"/>
      <c r="C7" s="2"/>
      <c r="D7" s="2"/>
      <c r="E7" s="2" t="s">
        <v>15</v>
      </c>
      <c r="F7" s="2" t="s">
        <v>220</v>
      </c>
      <c r="G7" s="2" t="s">
        <v>149</v>
      </c>
      <c r="H7" s="2"/>
      <c r="I7" s="2"/>
      <c r="J7" s="2">
        <v>4</v>
      </c>
      <c r="K7" s="2"/>
      <c r="L7" s="2" t="s">
        <v>245</v>
      </c>
      <c r="M7" s="2"/>
      <c r="N7" s="2" t="s">
        <v>21</v>
      </c>
      <c r="O7" s="2"/>
      <c r="P7" s="2"/>
      <c r="Q7" s="2"/>
      <c r="R7" s="6" t="s">
        <v>27</v>
      </c>
      <c r="S7" t="s">
        <v>53</v>
      </c>
      <c r="T7" s="2"/>
      <c r="U7" s="2" t="s">
        <v>120</v>
      </c>
      <c r="V7" s="2" t="s">
        <v>93</v>
      </c>
      <c r="W7" s="2"/>
      <c r="X7" s="2"/>
    </row>
    <row r="8" spans="1:24">
      <c r="A8" s="2"/>
      <c r="B8" s="2"/>
      <c r="C8" s="2"/>
      <c r="D8" s="2"/>
      <c r="E8" s="2"/>
      <c r="F8" s="2" t="s">
        <v>221</v>
      </c>
      <c r="G8" s="2" t="s">
        <v>292</v>
      </c>
      <c r="H8" s="2"/>
      <c r="I8" s="2"/>
      <c r="J8" s="2">
        <v>5</v>
      </c>
      <c r="K8" s="2"/>
      <c r="L8" s="2" t="s">
        <v>222</v>
      </c>
      <c r="M8" s="2"/>
      <c r="N8" s="2" t="s">
        <v>100</v>
      </c>
      <c r="O8" s="2"/>
      <c r="P8" s="2"/>
      <c r="Q8" s="2"/>
      <c r="R8" s="6" t="s">
        <v>239</v>
      </c>
      <c r="S8" t="s">
        <v>119</v>
      </c>
      <c r="T8" s="2"/>
      <c r="U8" s="2" t="s">
        <v>248</v>
      </c>
      <c r="V8" s="2" t="s">
        <v>98</v>
      </c>
      <c r="W8" s="2"/>
      <c r="X8" s="2"/>
    </row>
    <row r="9" spans="1:24">
      <c r="A9" s="2"/>
      <c r="B9" s="2"/>
      <c r="C9" s="2"/>
      <c r="D9" s="2"/>
      <c r="E9" s="2"/>
      <c r="F9" s="2" t="s">
        <v>123</v>
      </c>
      <c r="G9" s="2" t="s">
        <v>21</v>
      </c>
      <c r="H9" s="2"/>
      <c r="I9" s="2"/>
      <c r="J9" s="2">
        <v>6</v>
      </c>
      <c r="K9" s="2"/>
      <c r="L9" s="2" t="s">
        <v>223</v>
      </c>
      <c r="M9" s="2"/>
      <c r="N9" s="2"/>
      <c r="O9" s="2"/>
      <c r="P9" s="2"/>
      <c r="Q9" s="2"/>
      <c r="R9" s="6" t="s">
        <v>28</v>
      </c>
      <c r="S9" t="s">
        <v>54</v>
      </c>
      <c r="T9" s="2"/>
      <c r="U9" s="2" t="s">
        <v>122</v>
      </c>
      <c r="V9" s="2" t="s">
        <v>21</v>
      </c>
      <c r="W9" s="2"/>
      <c r="X9" s="2"/>
    </row>
    <row r="10" spans="1:24">
      <c r="A10" s="2"/>
      <c r="B10" s="2"/>
      <c r="C10" s="2"/>
      <c r="D10" s="2"/>
      <c r="E10" s="2"/>
      <c r="F10" s="2"/>
      <c r="G10" s="2"/>
      <c r="H10" s="2"/>
      <c r="I10" s="2"/>
      <c r="J10" s="2">
        <v>7</v>
      </c>
      <c r="K10" s="2"/>
      <c r="L10" s="2" t="s">
        <v>224</v>
      </c>
      <c r="M10" s="2"/>
      <c r="N10" s="2"/>
      <c r="O10" s="2"/>
      <c r="P10" s="2"/>
      <c r="Q10" s="2"/>
      <c r="R10" s="6" t="s">
        <v>124</v>
      </c>
      <c r="S10" t="s">
        <v>125</v>
      </c>
      <c r="T10" s="2"/>
      <c r="U10" s="2" t="s">
        <v>21</v>
      </c>
      <c r="V10" s="2"/>
      <c r="W10" s="2"/>
      <c r="X10" s="2"/>
    </row>
    <row r="11" spans="1:24">
      <c r="A11" s="2"/>
      <c r="B11" s="2"/>
      <c r="C11" s="2"/>
      <c r="D11" s="2"/>
      <c r="E11" s="2"/>
      <c r="F11" s="2"/>
      <c r="G11" s="2"/>
      <c r="H11" s="2"/>
      <c r="I11" s="2"/>
      <c r="J11" s="2">
        <v>8</v>
      </c>
      <c r="K11" s="2"/>
      <c r="L11" s="2" t="s">
        <v>291</v>
      </c>
      <c r="M11" s="2"/>
      <c r="N11" s="2"/>
      <c r="O11" s="2"/>
      <c r="P11" s="2"/>
      <c r="Q11" s="2"/>
      <c r="R11" s="6" t="s">
        <v>29</v>
      </c>
      <c r="S11" t="s">
        <v>55</v>
      </c>
      <c r="T11" s="2"/>
      <c r="U11" s="2" t="s">
        <v>126</v>
      </c>
      <c r="V11" s="2"/>
      <c r="W11" s="2"/>
      <c r="X11" s="2"/>
    </row>
    <row r="12" spans="1:24">
      <c r="A12" s="2"/>
      <c r="B12" s="2"/>
      <c r="C12" s="2"/>
      <c r="D12" s="2"/>
      <c r="E12" s="2"/>
      <c r="F12" s="2"/>
      <c r="G12" s="2"/>
      <c r="H12" s="2"/>
      <c r="I12" s="2"/>
      <c r="J12" s="2">
        <v>9</v>
      </c>
      <c r="K12" s="2"/>
      <c r="L12" s="2" t="s">
        <v>99</v>
      </c>
      <c r="M12" s="2"/>
      <c r="N12" s="2"/>
      <c r="O12" s="2"/>
      <c r="P12" s="2"/>
      <c r="Q12" s="2"/>
      <c r="R12" s="6" t="s">
        <v>30</v>
      </c>
      <c r="S12" t="s">
        <v>55</v>
      </c>
      <c r="T12" s="2"/>
      <c r="U12" s="2"/>
      <c r="V12" s="2"/>
      <c r="W12" s="2"/>
      <c r="X12" s="2"/>
    </row>
    <row r="13" spans="1:24">
      <c r="A13" s="2"/>
      <c r="B13" s="2"/>
      <c r="C13" s="2"/>
      <c r="D13" s="2"/>
      <c r="E13" s="2"/>
      <c r="G13" s="2"/>
      <c r="H13" s="2"/>
      <c r="I13" s="2"/>
      <c r="J13" s="2"/>
      <c r="K13" s="2"/>
      <c r="L13" s="2" t="s">
        <v>97</v>
      </c>
      <c r="M13" s="2"/>
      <c r="N13" s="2"/>
      <c r="O13" s="2"/>
      <c r="P13" s="2"/>
      <c r="Q13" s="2"/>
      <c r="R13" s="6" t="s">
        <v>31</v>
      </c>
      <c r="S13" t="s">
        <v>55</v>
      </c>
      <c r="T13" s="2"/>
      <c r="U13" s="2"/>
      <c r="V13" s="2"/>
      <c r="W13" s="2"/>
      <c r="X13" s="2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 t="s">
        <v>277</v>
      </c>
      <c r="M14" s="2"/>
      <c r="N14" s="2"/>
      <c r="O14" s="2"/>
      <c r="P14" s="2"/>
      <c r="Q14" s="2"/>
      <c r="R14" s="6" t="s">
        <v>32</v>
      </c>
      <c r="S14" t="s">
        <v>55</v>
      </c>
      <c r="T14" s="2"/>
      <c r="U14" s="2"/>
      <c r="V14" s="2"/>
      <c r="W14" s="2"/>
      <c r="X14" s="2"/>
    </row>
    <row r="15" spans="1:24">
      <c r="A15" s="2"/>
      <c r="B15" s="2"/>
      <c r="C15" s="2"/>
      <c r="D15" s="2"/>
      <c r="E15" s="2"/>
      <c r="F15" s="2"/>
      <c r="G15" s="2"/>
      <c r="H15" s="2"/>
      <c r="I15" s="2"/>
      <c r="J15" s="11" t="s">
        <v>208</v>
      </c>
      <c r="K15" s="2"/>
      <c r="L15" s="2" t="s">
        <v>278</v>
      </c>
      <c r="M15" s="2"/>
      <c r="N15" s="2"/>
      <c r="O15" s="2"/>
      <c r="P15" s="2"/>
      <c r="Q15" s="2"/>
      <c r="R15" s="6" t="s">
        <v>241</v>
      </c>
      <c r="S15" t="s">
        <v>55</v>
      </c>
      <c r="T15" s="2"/>
      <c r="U15" s="2"/>
      <c r="V15" s="2"/>
      <c r="W15" s="2"/>
      <c r="X15" s="2"/>
    </row>
    <row r="16" spans="1: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 t="s">
        <v>275</v>
      </c>
      <c r="M16" s="2"/>
      <c r="N16" s="2"/>
      <c r="O16" s="2"/>
      <c r="P16" s="2"/>
      <c r="Q16" s="2"/>
      <c r="R16" s="6" t="s">
        <v>242</v>
      </c>
      <c r="S16" t="s">
        <v>55</v>
      </c>
      <c r="T16" s="2"/>
      <c r="U16" s="2"/>
      <c r="V16" s="2"/>
      <c r="W16" s="2"/>
      <c r="X16" s="2"/>
    </row>
    <row r="17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 t="s">
        <v>276</v>
      </c>
      <c r="M17" s="2"/>
      <c r="N17" s="2"/>
      <c r="O17" s="2"/>
      <c r="P17" s="2"/>
      <c r="Q17" s="2"/>
      <c r="R17" s="6" t="s">
        <v>33</v>
      </c>
      <c r="S17" t="s">
        <v>55</v>
      </c>
      <c r="T17" s="2"/>
      <c r="U17" s="2"/>
      <c r="V17" s="2"/>
      <c r="W17" s="2"/>
      <c r="X17" s="2"/>
    </row>
    <row r="18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 t="s">
        <v>101</v>
      </c>
      <c r="M18" s="2"/>
      <c r="N18" s="2"/>
      <c r="O18" s="2"/>
      <c r="P18" s="2"/>
      <c r="Q18" s="2"/>
      <c r="R18" s="6" t="s">
        <v>127</v>
      </c>
      <c r="S18" t="s">
        <v>55</v>
      </c>
      <c r="T18" s="2"/>
      <c r="U18" s="2"/>
      <c r="V18" s="2"/>
      <c r="W18" s="2"/>
      <c r="X18" s="2"/>
    </row>
    <row r="19" spans="1:24" ht="3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 t="s">
        <v>21</v>
      </c>
      <c r="M19" s="2"/>
      <c r="N19" s="2"/>
      <c r="O19" s="2"/>
      <c r="P19" s="2"/>
      <c r="Q19" s="2"/>
      <c r="R19" s="6" t="s">
        <v>128</v>
      </c>
      <c r="S19" t="s">
        <v>55</v>
      </c>
      <c r="T19" s="2"/>
      <c r="U19" s="2"/>
      <c r="V19" s="2"/>
      <c r="W19" s="2"/>
      <c r="X19" s="2"/>
    </row>
    <row r="20" spans="1: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100</v>
      </c>
      <c r="M20" s="2"/>
      <c r="N20" s="2"/>
      <c r="O20" s="2"/>
      <c r="P20" s="2"/>
      <c r="Q20" s="2"/>
      <c r="R20" s="6" t="s">
        <v>34</v>
      </c>
      <c r="S20" t="s">
        <v>55</v>
      </c>
      <c r="T20" s="2"/>
      <c r="U20" s="2"/>
      <c r="V20" s="2"/>
      <c r="W20" s="2"/>
      <c r="X20" s="2"/>
    </row>
    <row r="21" spans="1: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 t="s">
        <v>64</v>
      </c>
      <c r="M21" s="2"/>
      <c r="N21" s="2"/>
      <c r="O21" s="2"/>
      <c r="P21" s="2"/>
      <c r="Q21" s="2"/>
      <c r="R21" s="6" t="s">
        <v>35</v>
      </c>
      <c r="S21" t="s">
        <v>55</v>
      </c>
      <c r="T21" s="2"/>
      <c r="U21" s="2"/>
      <c r="V21" s="2"/>
      <c r="W21" s="2"/>
      <c r="X21" s="2"/>
    </row>
    <row r="22" spans="1:2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6" t="s">
        <v>36</v>
      </c>
      <c r="S22" t="s">
        <v>56</v>
      </c>
      <c r="T22" s="2"/>
      <c r="U22" s="2"/>
      <c r="V22" s="2"/>
      <c r="W22" s="2"/>
      <c r="X22" s="2"/>
    </row>
    <row r="23" spans="1: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6" t="s">
        <v>129</v>
      </c>
      <c r="S23" t="s">
        <v>61</v>
      </c>
      <c r="T23" s="2"/>
      <c r="U23" s="2"/>
      <c r="V23" s="2"/>
      <c r="W23" s="2"/>
      <c r="X23" s="2"/>
    </row>
    <row r="24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6" t="s">
        <v>237</v>
      </c>
      <c r="S24" t="s">
        <v>57</v>
      </c>
      <c r="T24" s="2"/>
      <c r="U24" s="2"/>
      <c r="V24" s="2"/>
      <c r="W24" s="2"/>
      <c r="X24" s="2"/>
    </row>
    <row r="25" spans="1:2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 t="s">
        <v>37</v>
      </c>
      <c r="S25" t="s">
        <v>54</v>
      </c>
      <c r="T25" s="2"/>
      <c r="U25" s="2"/>
      <c r="V25" s="2"/>
      <c r="W25" s="2"/>
      <c r="X25" s="2"/>
    </row>
    <row r="26" spans="1:2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6" t="s">
        <v>38</v>
      </c>
      <c r="S26" t="s">
        <v>58</v>
      </c>
      <c r="T26" s="2"/>
      <c r="U26" s="2"/>
      <c r="V26" s="2"/>
      <c r="W26" s="2"/>
      <c r="X26" s="2"/>
    </row>
    <row r="27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" t="s">
        <v>265</v>
      </c>
      <c r="S27" t="s">
        <v>59</v>
      </c>
      <c r="T27" s="2"/>
      <c r="U27" s="2"/>
      <c r="V27" s="2"/>
      <c r="W27" s="2"/>
      <c r="X27" s="2"/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 t="s">
        <v>39</v>
      </c>
      <c r="S28" t="s">
        <v>61</v>
      </c>
      <c r="T28" s="2"/>
      <c r="U28" s="2"/>
      <c r="V28" s="2"/>
      <c r="W28" s="2"/>
      <c r="X28" s="2"/>
    </row>
    <row r="29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" t="s">
        <v>130</v>
      </c>
      <c r="S29" t="s">
        <v>57</v>
      </c>
      <c r="T29" s="2"/>
      <c r="U29" s="2"/>
      <c r="V29" s="2"/>
      <c r="W29" s="2"/>
      <c r="X29" s="2"/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6" t="s">
        <v>40</v>
      </c>
      <c r="S30" t="s">
        <v>54</v>
      </c>
      <c r="T30" s="2"/>
      <c r="U30" s="2"/>
      <c r="V30" s="2"/>
      <c r="W30" s="2"/>
      <c r="X30" s="2"/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6" t="s">
        <v>225</v>
      </c>
      <c r="S31" t="s">
        <v>56</v>
      </c>
      <c r="T31" s="2"/>
      <c r="U31" s="2"/>
      <c r="V31" s="2"/>
      <c r="W31" s="2"/>
      <c r="X31" s="2"/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6" t="s">
        <v>253</v>
      </c>
      <c r="S32" t="s">
        <v>254</v>
      </c>
      <c r="T32" s="2"/>
      <c r="U32" s="2"/>
      <c r="V32" s="2"/>
      <c r="W32" s="2"/>
      <c r="X32" s="2"/>
    </row>
    <row r="33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 t="s">
        <v>41</v>
      </c>
      <c r="S33" t="s">
        <v>52</v>
      </c>
      <c r="T33" s="2"/>
      <c r="U33" s="2"/>
      <c r="V33" s="2"/>
      <c r="W33" s="2"/>
      <c r="X33" s="2"/>
    </row>
    <row r="34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" t="s">
        <v>42</v>
      </c>
      <c r="S34" t="s">
        <v>256</v>
      </c>
      <c r="T34" s="2"/>
      <c r="U34" s="2"/>
      <c r="V34" s="2"/>
      <c r="W34" s="2"/>
      <c r="X34" s="2"/>
    </row>
    <row r="35" spans="1: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" t="s">
        <v>131</v>
      </c>
      <c r="S35" t="s">
        <v>58</v>
      </c>
      <c r="T35" s="2"/>
      <c r="U35" s="2"/>
      <c r="V35" s="2"/>
      <c r="W35" s="2"/>
      <c r="X35" s="2"/>
    </row>
    <row r="36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6" t="s">
        <v>262</v>
      </c>
      <c r="S36" s="16" t="s">
        <v>263</v>
      </c>
      <c r="T36" s="2"/>
      <c r="U36" s="2"/>
      <c r="V36" s="2"/>
      <c r="W36" s="2"/>
      <c r="X36" s="2"/>
    </row>
    <row r="37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6" t="s">
        <v>243</v>
      </c>
      <c r="S37" t="s">
        <v>57</v>
      </c>
      <c r="T37" s="2"/>
      <c r="U37" s="2"/>
      <c r="V37" s="2"/>
      <c r="W37" s="2"/>
      <c r="X37" s="2"/>
    </row>
    <row r="38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6" t="s">
        <v>255</v>
      </c>
      <c r="S38" t="s">
        <v>257</v>
      </c>
      <c r="T38" s="2"/>
      <c r="U38" s="2"/>
      <c r="V38" s="2"/>
      <c r="W38" s="2"/>
      <c r="X38" s="2"/>
    </row>
    <row r="39" spans="1:24" ht="18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6" t="s">
        <v>43</v>
      </c>
      <c r="S39" t="s">
        <v>62</v>
      </c>
      <c r="T39" s="14"/>
      <c r="U39" s="2"/>
      <c r="V39" s="2"/>
      <c r="W39" s="2"/>
      <c r="X39" s="2"/>
    </row>
    <row r="40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6" t="s">
        <v>44</v>
      </c>
      <c r="S40" t="s">
        <v>61</v>
      </c>
      <c r="T40" s="2"/>
      <c r="U40" s="2"/>
      <c r="V40" s="2"/>
      <c r="W40" s="2"/>
      <c r="X40" s="2"/>
    </row>
    <row r="41" spans="1:2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6" t="s">
        <v>249</v>
      </c>
      <c r="S41" t="s">
        <v>98</v>
      </c>
      <c r="T41" s="2" t="s">
        <v>250</v>
      </c>
      <c r="U41" s="2"/>
      <c r="V41" s="2"/>
      <c r="W41" s="2"/>
      <c r="X41" s="2"/>
    </row>
    <row r="42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6" t="s">
        <v>132</v>
      </c>
      <c r="S42" t="s">
        <v>52</v>
      </c>
      <c r="T42" s="13"/>
      <c r="U42" s="2"/>
      <c r="V42" s="2"/>
      <c r="W42" s="2"/>
      <c r="X42" s="2"/>
    </row>
    <row r="43" spans="1: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6" t="s">
        <v>45</v>
      </c>
      <c r="S43" t="s">
        <v>63</v>
      </c>
      <c r="T43" s="13"/>
      <c r="U43" s="2"/>
      <c r="V43" s="2"/>
      <c r="W43" s="2"/>
      <c r="X43" s="2"/>
    </row>
    <row r="44" spans="1: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6" t="s">
        <v>133</v>
      </c>
      <c r="S44" t="s">
        <v>57</v>
      </c>
      <c r="T44" s="13"/>
      <c r="U44" s="2"/>
      <c r="V44" s="2"/>
      <c r="W44" s="2"/>
      <c r="X44" s="2"/>
    </row>
    <row r="45" spans="1: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6" t="s">
        <v>251</v>
      </c>
      <c r="S45" t="s">
        <v>252</v>
      </c>
      <c r="T45" s="13"/>
      <c r="U45" s="2"/>
      <c r="V45" s="2"/>
      <c r="W45" s="2"/>
      <c r="X45" s="2"/>
    </row>
    <row r="46" spans="1: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6" t="s">
        <v>308</v>
      </c>
      <c r="S46" t="s">
        <v>238</v>
      </c>
      <c r="T46" s="13" t="s">
        <v>56</v>
      </c>
      <c r="U46" s="2"/>
      <c r="V46" s="2"/>
      <c r="W46" s="2"/>
      <c r="X46" s="2"/>
    </row>
    <row r="47" spans="1:24" ht="3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6" t="s">
        <v>309</v>
      </c>
      <c r="S47" t="s">
        <v>238</v>
      </c>
      <c r="T47" s="13" t="s">
        <v>52</v>
      </c>
      <c r="U47" s="2"/>
      <c r="V47" s="2"/>
      <c r="W47" s="2"/>
      <c r="X47" s="2"/>
    </row>
    <row r="48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6" t="s">
        <v>310</v>
      </c>
      <c r="S48" t="s">
        <v>238</v>
      </c>
      <c r="T48" s="13" t="s">
        <v>57</v>
      </c>
      <c r="U48" s="2"/>
      <c r="V48" s="2"/>
      <c r="W48" s="2"/>
      <c r="X48" s="2"/>
    </row>
    <row r="49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6" t="s">
        <v>311</v>
      </c>
      <c r="S49" t="s">
        <v>238</v>
      </c>
      <c r="T49" s="13" t="s">
        <v>57</v>
      </c>
      <c r="U49" s="2"/>
      <c r="V49" s="2"/>
      <c r="W49" s="2"/>
      <c r="X49" s="2"/>
    </row>
    <row r="50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6" t="s">
        <v>312</v>
      </c>
      <c r="S50" t="s">
        <v>238</v>
      </c>
      <c r="T50" s="13" t="s">
        <v>59</v>
      </c>
      <c r="U50" s="2"/>
      <c r="V50" s="2"/>
      <c r="W50" s="2"/>
      <c r="X50" s="2"/>
    </row>
    <row r="5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" t="s">
        <v>313</v>
      </c>
      <c r="S51" t="s">
        <v>238</v>
      </c>
      <c r="T51" s="13" t="s">
        <v>52</v>
      </c>
      <c r="U51" s="2"/>
      <c r="V51" s="2"/>
      <c r="W51" s="2"/>
      <c r="X51" s="2"/>
    </row>
    <row r="52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6" t="s">
        <v>244</v>
      </c>
      <c r="S52" t="s">
        <v>57</v>
      </c>
      <c r="T52" s="2"/>
      <c r="U52" s="2"/>
      <c r="V52" s="2"/>
      <c r="W52" s="2"/>
      <c r="X52" s="2"/>
    </row>
    <row r="53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6" t="s">
        <v>134</v>
      </c>
      <c r="S53" t="s">
        <v>61</v>
      </c>
      <c r="T53" s="2"/>
      <c r="U53" s="2"/>
      <c r="V53" s="2"/>
      <c r="W53" s="2"/>
      <c r="X53" s="2"/>
    </row>
    <row r="54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" t="s">
        <v>135</v>
      </c>
      <c r="S54" t="s">
        <v>136</v>
      </c>
      <c r="T54" s="2"/>
      <c r="U54" s="2"/>
      <c r="V54" s="2"/>
      <c r="W54" s="2"/>
      <c r="X54" s="2"/>
    </row>
    <row r="55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6" t="s">
        <v>46</v>
      </c>
      <c r="S55" t="s">
        <v>53</v>
      </c>
      <c r="T55" s="2"/>
      <c r="U55" s="2"/>
      <c r="V55" s="2"/>
      <c r="W55" s="2"/>
      <c r="X55" s="2"/>
    </row>
    <row r="56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6" t="s">
        <v>260</v>
      </c>
      <c r="S56" t="s">
        <v>137</v>
      </c>
      <c r="T56" s="2"/>
      <c r="U56" s="2"/>
      <c r="V56" s="2"/>
      <c r="W56" s="2"/>
      <c r="X56" s="2"/>
    </row>
    <row r="57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 t="s">
        <v>47</v>
      </c>
      <c r="S57" t="s">
        <v>59</v>
      </c>
      <c r="T57" s="2"/>
      <c r="U57" s="2"/>
      <c r="V57" s="2"/>
      <c r="W57" s="2"/>
      <c r="X57" s="2"/>
    </row>
    <row r="58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6" t="s">
        <v>138</v>
      </c>
      <c r="S58" t="s">
        <v>57</v>
      </c>
      <c r="T58" s="2"/>
      <c r="U58" s="2"/>
      <c r="V58" s="2"/>
      <c r="W58" s="2"/>
      <c r="X58" s="2"/>
    </row>
    <row r="59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6" t="s">
        <v>48</v>
      </c>
      <c r="S59" t="s">
        <v>48</v>
      </c>
      <c r="T59" s="2"/>
      <c r="U59" s="2"/>
      <c r="V59" s="2"/>
      <c r="W59" s="2"/>
      <c r="X59" s="2"/>
    </row>
    <row r="60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6" t="s">
        <v>139</v>
      </c>
      <c r="S60" t="s">
        <v>140</v>
      </c>
      <c r="T60" s="2"/>
      <c r="U60" s="2"/>
      <c r="V60" s="2"/>
      <c r="W60" s="2"/>
      <c r="X60" s="2"/>
    </row>
    <row r="6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6" t="s">
        <v>141</v>
      </c>
      <c r="S61" t="s">
        <v>142</v>
      </c>
      <c r="T61" s="2"/>
      <c r="U61" s="2"/>
      <c r="V61" s="2"/>
      <c r="W61" s="2"/>
      <c r="X61" s="2"/>
    </row>
    <row r="62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6" t="s">
        <v>49</v>
      </c>
      <c r="S62" t="s">
        <v>142</v>
      </c>
      <c r="T62" s="2"/>
      <c r="U62" s="2"/>
      <c r="V62" s="2"/>
      <c r="W62" s="2"/>
      <c r="X62" s="2"/>
    </row>
    <row r="63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6" t="s">
        <v>143</v>
      </c>
      <c r="S63" t="s">
        <v>140</v>
      </c>
      <c r="T63" s="2"/>
      <c r="U63" s="2"/>
      <c r="V63" s="2"/>
      <c r="W63" s="2"/>
      <c r="X63" s="2"/>
    </row>
    <row r="64" spans="1:24">
      <c r="G64" s="2"/>
      <c r="I64" s="2"/>
      <c r="L64" s="2"/>
      <c r="R64" s="6" t="s">
        <v>144</v>
      </c>
      <c r="S64" t="s">
        <v>142</v>
      </c>
      <c r="U64" s="2"/>
      <c r="V64" s="2"/>
    </row>
    <row r="65" spans="12:19">
      <c r="L65" s="2"/>
      <c r="R65" s="6" t="s">
        <v>145</v>
      </c>
      <c r="S65" t="s">
        <v>140</v>
      </c>
    </row>
    <row r="66" spans="12:19">
      <c r="L66" s="2"/>
      <c r="R66" s="6" t="s">
        <v>264</v>
      </c>
      <c r="S66" t="s">
        <v>60</v>
      </c>
    </row>
    <row r="67" spans="12:19">
      <c r="L67" s="2"/>
      <c r="R67" s="6" t="s">
        <v>50</v>
      </c>
      <c r="S67" t="s">
        <v>61</v>
      </c>
    </row>
    <row r="68" spans="12:19">
      <c r="L68" s="2"/>
      <c r="R68" s="6" t="s">
        <v>258</v>
      </c>
      <c r="S68" s="15" t="s">
        <v>259</v>
      </c>
    </row>
    <row r="69" spans="12:19">
      <c r="L69" s="2"/>
      <c r="R69" s="6" t="s">
        <v>146</v>
      </c>
      <c r="S69" t="s">
        <v>52</v>
      </c>
    </row>
    <row r="70" spans="12:19">
      <c r="L70" s="2"/>
      <c r="R70" s="6" t="s">
        <v>147</v>
      </c>
      <c r="S70" t="s">
        <v>54</v>
      </c>
    </row>
    <row r="71" spans="12:19">
      <c r="R71" s="6" t="s">
        <v>148</v>
      </c>
      <c r="S71" t="s">
        <v>54</v>
      </c>
    </row>
    <row r="72" spans="12:19">
      <c r="R72" s="6" t="s">
        <v>51</v>
      </c>
      <c r="S72" t="s">
        <v>60</v>
      </c>
    </row>
    <row r="73" spans="12:19">
      <c r="R73" s="6" t="s">
        <v>21</v>
      </c>
      <c r="S73" t="s">
        <v>21</v>
      </c>
    </row>
  </sheetData>
  <mergeCells count="3">
    <mergeCell ref="L1:X1"/>
    <mergeCell ref="L2:Q2"/>
    <mergeCell ref="A1:K2"/>
  </mergeCells>
  <pageMargins left="0.7" right="0.7" top="0.75" bottom="0.75" header="0.3" footer="0.3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6640625" defaultRowHeight="15.5"/>
  <cols>
    <col min="1" max="1" width="47" customWidth="1"/>
    <col min="2" max="2" width="60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2"/>
  <sheetViews>
    <sheetView showGridLines="0" workbookViewId="0">
      <selection activeCell="C22" sqref="C22"/>
    </sheetView>
  </sheetViews>
  <sheetFormatPr defaultColWidth="10.83203125" defaultRowHeight="15.5"/>
  <cols>
    <col min="1" max="1" width="10.83203125" style="24"/>
    <col min="2" max="2" width="20.5" style="24" customWidth="1"/>
    <col min="3" max="3" width="30.33203125" style="24" customWidth="1"/>
    <col min="4" max="16384" width="10.83203125" style="24"/>
  </cols>
  <sheetData>
    <row r="3" spans="2:3" ht="23.5">
      <c r="B3" s="23"/>
    </row>
    <row r="8" spans="2:3">
      <c r="B8" s="55" t="s">
        <v>80</v>
      </c>
      <c r="C8" s="56"/>
    </row>
    <row r="9" spans="2:3">
      <c r="B9" s="25" t="s">
        <v>67</v>
      </c>
      <c r="C9" s="26" t="s">
        <v>81</v>
      </c>
    </row>
    <row r="10" spans="2:3">
      <c r="B10" s="27" t="s">
        <v>68</v>
      </c>
      <c r="C10" s="28">
        <v>10</v>
      </c>
    </row>
    <row r="11" spans="2:3">
      <c r="B11" s="27" t="s">
        <v>69</v>
      </c>
      <c r="C11" s="28">
        <v>10</v>
      </c>
    </row>
    <row r="12" spans="2:3">
      <c r="B12" s="27" t="s">
        <v>70</v>
      </c>
      <c r="C12" s="28">
        <v>10</v>
      </c>
    </row>
    <row r="13" spans="2:3">
      <c r="B13" s="27" t="s">
        <v>71</v>
      </c>
      <c r="C13" s="28">
        <v>10</v>
      </c>
    </row>
    <row r="14" spans="2:3">
      <c r="B14" s="27" t="s">
        <v>72</v>
      </c>
      <c r="C14" s="28">
        <v>10</v>
      </c>
    </row>
    <row r="15" spans="2:3">
      <c r="B15" s="27" t="s">
        <v>73</v>
      </c>
      <c r="C15" s="28">
        <v>10</v>
      </c>
    </row>
    <row r="16" spans="2:3">
      <c r="B16" s="27" t="s">
        <v>74</v>
      </c>
      <c r="C16" s="28">
        <v>10</v>
      </c>
    </row>
    <row r="17" spans="2:3">
      <c r="B17" s="27" t="s">
        <v>75</v>
      </c>
      <c r="C17" s="28">
        <v>10</v>
      </c>
    </row>
    <row r="18" spans="2:3">
      <c r="B18" s="27" t="s">
        <v>76</v>
      </c>
      <c r="C18" s="28">
        <v>10</v>
      </c>
    </row>
    <row r="19" spans="2:3">
      <c r="B19" s="27" t="s">
        <v>77</v>
      </c>
      <c r="C19" s="28">
        <v>10</v>
      </c>
    </row>
    <row r="20" spans="2:3">
      <c r="B20" s="27" t="s">
        <v>78</v>
      </c>
      <c r="C20" s="28">
        <v>10</v>
      </c>
    </row>
    <row r="21" spans="2:3">
      <c r="B21" s="29" t="s">
        <v>79</v>
      </c>
      <c r="C21" s="30">
        <v>10</v>
      </c>
    </row>
    <row r="22" spans="2:3">
      <c r="B22" s="29" t="s">
        <v>212</v>
      </c>
      <c r="C22" s="20">
        <f>SUM(Total_Patients[Patients Seen per Month])</f>
        <v>120</v>
      </c>
    </row>
  </sheetData>
  <sheetProtection algorithmName="SHA-512" hashValue="gUhSMxY3tksNcF90TeziBMqoNaNgvKg7oX5MaLx776UyoI4AaA7FC0iert7xANvuLQnRJhxcvYhjXynx6c/PMA==" saltValue="36CNMHiufw+QiXioixY1kw==" spinCount="100000" sheet="1" objects="1" scenarios="1"/>
  <mergeCells count="1">
    <mergeCell ref="B8:C8"/>
  </mergeCells>
  <phoneticPr fontId="5" type="noConversion"/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showGridLines="0" zoomScale="83" workbookViewId="0">
      <selection activeCell="C14" sqref="C14"/>
    </sheetView>
  </sheetViews>
  <sheetFormatPr defaultColWidth="10.6640625" defaultRowHeight="15.5"/>
  <cols>
    <col min="2" max="2" width="19.33203125" customWidth="1"/>
    <col min="3" max="3" width="28.1640625" customWidth="1"/>
  </cols>
  <sheetData>
    <row r="2" spans="2:3" ht="42" customHeight="1">
      <c r="B2" s="12" t="s">
        <v>211</v>
      </c>
      <c r="C2" s="19" t="s">
        <v>290</v>
      </c>
    </row>
    <row r="3" spans="2:3" ht="18.5">
      <c r="B3" s="18" t="s">
        <v>68</v>
      </c>
      <c r="C3" s="17">
        <f>IFERROR(Calculations!E2/Calculations!B2*100, " ")</f>
        <v>40</v>
      </c>
    </row>
    <row r="4" spans="2:3" ht="18.5">
      <c r="B4" s="18" t="s">
        <v>69</v>
      </c>
      <c r="C4" s="17">
        <f>IFERROR(Calculations!E3/Calculations!B3*100, " ")</f>
        <v>60</v>
      </c>
    </row>
    <row r="5" spans="2:3" ht="18.5">
      <c r="B5" s="18" t="s">
        <v>70</v>
      </c>
      <c r="C5" s="17">
        <f>IFERROR(Calculations!E4/Calculations!B4*100, " ")</f>
        <v>70</v>
      </c>
    </row>
    <row r="6" spans="2:3" ht="18.5">
      <c r="B6" s="18" t="s">
        <v>71</v>
      </c>
      <c r="C6" s="17">
        <f>IFERROR(Calculations!E5/Calculations!B5*100, " ")</f>
        <v>50</v>
      </c>
    </row>
    <row r="7" spans="2:3" ht="18.5">
      <c r="B7" s="18" t="s">
        <v>72</v>
      </c>
      <c r="C7" s="17">
        <f>IFERROR(Calculations!E6/Calculations!B6*100, " ")</f>
        <v>50</v>
      </c>
    </row>
    <row r="8" spans="2:3" ht="18.5">
      <c r="B8" s="18" t="s">
        <v>73</v>
      </c>
      <c r="C8" s="17">
        <f>IFERROR(Calculations!E7/Calculations!B7*100, " ")</f>
        <v>40</v>
      </c>
    </row>
    <row r="9" spans="2:3" ht="18.5">
      <c r="B9" s="18" t="s">
        <v>74</v>
      </c>
      <c r="C9" s="17">
        <f>IFERROR(Calculations!E8/Calculations!B8*100, " ")</f>
        <v>40</v>
      </c>
    </row>
    <row r="10" spans="2:3" ht="18.5">
      <c r="B10" s="18" t="s">
        <v>75</v>
      </c>
      <c r="C10" s="17">
        <f>IFERROR(Calculations!E9/Calculations!B9*100, " ")</f>
        <v>30</v>
      </c>
    </row>
    <row r="11" spans="2:3" ht="18.5">
      <c r="B11" s="18" t="s">
        <v>76</v>
      </c>
      <c r="C11" s="17">
        <f>IFERROR(Calculations!E10/Calculations!B10*100, " ")</f>
        <v>20</v>
      </c>
    </row>
    <row r="12" spans="2:3" ht="18.5">
      <c r="B12" s="18" t="s">
        <v>77</v>
      </c>
      <c r="C12" s="17">
        <f>IFERROR(Calculations!E11/Calculations!B11*100, " ")</f>
        <v>30</v>
      </c>
    </row>
    <row r="13" spans="2:3" ht="18.5">
      <c r="B13" s="18" t="s">
        <v>78</v>
      </c>
      <c r="C13" s="17">
        <f>IFERROR(Calculations!E12/Calculations!B12*100, " ")</f>
        <v>40</v>
      </c>
    </row>
    <row r="14" spans="2:3" ht="18.5">
      <c r="B14" s="18" t="s">
        <v>79</v>
      </c>
      <c r="C14" s="17">
        <f>IFERROR(Calculations!E13/Calculations!B13*100, " ")</f>
        <v>20</v>
      </c>
    </row>
    <row r="15" spans="2:3" ht="18.5">
      <c r="B15" s="18" t="s">
        <v>212</v>
      </c>
      <c r="C15" s="17">
        <f>IFERROR(Calculations!E14/Calculations!B14*100, " ")</f>
        <v>40.833333333333336</v>
      </c>
    </row>
  </sheetData>
  <sheetProtection algorithmName="SHA-512" hashValue="daOPtMQv32JCITDyHutfw/qTvKKlP3bhG68a6LL6y23XTrG0YVzdXcn5TnhYm72X2iJbYIHzhDNanHkBtwvzRQ==" saltValue="AyApt9EPJcUe62dSwbF2eQ==" spinCount="100000" sheet="1" objects="1" scenarios="1"/>
  <phoneticPr fontId="5" type="noConversion"/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5"/>
  <sheetViews>
    <sheetView topLeftCell="A15" zoomScale="84" workbookViewId="0">
      <selection activeCell="O31" sqref="O31"/>
    </sheetView>
  </sheetViews>
  <sheetFormatPr defaultColWidth="10.83203125" defaultRowHeight="15.5"/>
  <cols>
    <col min="1" max="1" width="16.5" style="21" customWidth="1"/>
    <col min="2" max="2" width="19.33203125" style="21" customWidth="1"/>
    <col min="3" max="3" width="19" style="21" customWidth="1"/>
    <col min="4" max="16384" width="10.83203125" style="21"/>
  </cols>
  <sheetData>
    <row r="1" spans="1:22">
      <c r="A1" s="21" t="s">
        <v>213</v>
      </c>
      <c r="D1" s="21" t="s">
        <v>216</v>
      </c>
      <c r="G1" s="21" t="s">
        <v>217</v>
      </c>
      <c r="I1" s="21" t="s">
        <v>266</v>
      </c>
      <c r="T1" s="21" t="s">
        <v>279</v>
      </c>
    </row>
    <row r="2" spans="1:22">
      <c r="A2" s="21" t="s">
        <v>68</v>
      </c>
      <c r="B2" s="21">
        <f>'Total Patients'!C10</f>
        <v>10</v>
      </c>
      <c r="D2" s="21" t="s">
        <v>68</v>
      </c>
      <c r="E2" s="21">
        <f>COUNTIF(January[Patient Prescribed Antibiotic (Y/N/WW)], "Yes")</f>
        <v>4</v>
      </c>
      <c r="G2" s="21">
        <f>COUNTIF(January[Patient Prescribed Antibiotic (Y/N/WW)], "No")</f>
        <v>4</v>
      </c>
      <c r="I2" s="21">
        <f>COUNTIF(January[Patient Prescribed Antibiotic (Y/N/WW)], "Watchful Waiting")</f>
        <v>2</v>
      </c>
      <c r="U2" s="21" t="s">
        <v>102</v>
      </c>
      <c r="V2" s="21" t="s">
        <v>280</v>
      </c>
    </row>
    <row r="3" spans="1:22">
      <c r="A3" s="21" t="s">
        <v>69</v>
      </c>
      <c r="B3" s="21">
        <f>'Total Patients'!C11</f>
        <v>10</v>
      </c>
      <c r="D3" s="21" t="s">
        <v>69</v>
      </c>
      <c r="E3" s="21">
        <f>COUNTIF(February[Patient Prescribed Antibiotic (Y/N/WW)], "Yes")</f>
        <v>6</v>
      </c>
      <c r="G3" s="21">
        <f>COUNTIF(February[Patient Prescribed Antibiotic (Y/N/WW)], "No")</f>
        <v>2</v>
      </c>
      <c r="I3" s="21">
        <f>COUNTIF(February[Patient Prescribed Antibiotic (Y/N/WW)], "Watchful Waiting")</f>
        <v>2</v>
      </c>
      <c r="T3" s="21" t="s">
        <v>68</v>
      </c>
      <c r="U3" s="21">
        <f>COUNTIFS(January[Patient Prescribed Antibiotic (Y/N/WW)], "Watchful Waiting", January[Disease/Infection Type], "Gastrointestinal Disease")+COUNTIFS(January[Patient Prescribed Antibiotic (Y/N/WW)], "Watchful Waiting", January[Disease/Infection Type2], "Gastrointestinal Disease")+COUNTIFS(January[Patient Prescribed Antibiotic (Y/N/WW)], "Watchful Waiting", January[Disease/Infection Type3], "Gastrointestinal Disease")</f>
        <v>1</v>
      </c>
      <c r="V3" s="21">
        <f>COUNTIFS(January[Patient Prescribed Antibiotic (Y/N/WW)], "Watchful Waiting", January[Disease/Infection Type], "Upper Respiratory Tract Disease")+COUNTIFS(January[Patient Prescribed Antibiotic (Y/N/WW)], "Watchful Waiting", January[Disease/Infection Type2], "Upper Respiratory Tract Disease")+COUNTIFS(January[Patient Prescribed Antibiotic (Y/N/WW)], "Watchful Waiting", January[Disease/Infection Type3], "Upper Respiratory Tract Disease")</f>
        <v>1</v>
      </c>
    </row>
    <row r="4" spans="1:22">
      <c r="A4" s="21" t="s">
        <v>70</v>
      </c>
      <c r="B4" s="21">
        <f>'Total Patients'!C12</f>
        <v>10</v>
      </c>
      <c r="D4" s="21" t="s">
        <v>70</v>
      </c>
      <c r="E4" s="21">
        <f>COUNTIF(March[Patient Prescribed Antibiotic (Y/N/WW)], "Yes")</f>
        <v>7</v>
      </c>
      <c r="G4" s="21">
        <f>COUNTIF(March[Patient Prescribed Antibiotic (Y/N/WW)], "No")</f>
        <v>3</v>
      </c>
      <c r="I4" s="21">
        <f>COUNTIF(March[Patient Prescribed Antibiotic (Y/N/WW)], "Watchful Waiting")</f>
        <v>0</v>
      </c>
      <c r="T4" s="21" t="s">
        <v>69</v>
      </c>
      <c r="U4" s="21">
        <f>COUNTIFS(February[Patient Prescribed Antibiotic (Y/N/WW)], "Watchful Waiting", February[Disease/Infection Type], "Gastrointestinal Disease")+COUNTIFS(February[Patient Prescribed Antibiotic (Y/N/WW)], "Watchful Waiting", February[Disease/Infection Type2], "Gastrointestinal Disease")+COUNTIFS(February[Patient Prescribed Antibiotic (Y/N/WW)], "Watchful Waiting", February[Disease/Infection Type3], "Gastrointestinal Disease")</f>
        <v>0</v>
      </c>
      <c r="V4" s="21">
        <f>COUNTIFS(February[Patient Prescribed Antibiotic (Y/N/WW)], "Watchful Waiting", February[Disease/Infection Type], "Upper Respiratory Tract Disease")+COUNTIFS(February[Patient Prescribed Antibiotic (Y/N/WW)], "Watchful Waiting", February[Disease/Infection Type2], "Upper Respiratory Tract Disease")+COUNTIFS(February[Patient Prescribed Antibiotic (Y/N/WW)], "Watchful Waiting", February[Disease/Infection Type3], "Upper Respiratory Tract Disease")</f>
        <v>2</v>
      </c>
    </row>
    <row r="5" spans="1:22">
      <c r="A5" s="21" t="s">
        <v>71</v>
      </c>
      <c r="B5" s="21">
        <f>'Total Patients'!C13</f>
        <v>10</v>
      </c>
      <c r="D5" s="21" t="s">
        <v>71</v>
      </c>
      <c r="E5" s="21">
        <f>COUNTIF(April[Patient Prescribed Antibiotic (Y/N/WW)], "Yes")</f>
        <v>5</v>
      </c>
      <c r="G5" s="21">
        <f>COUNTIF(April[Patient Prescribed Antibiotic (Y/N/WW)], "No")</f>
        <v>4</v>
      </c>
      <c r="I5" s="21">
        <f>COUNTIF(April[Patient Prescribed Antibiotic (Y/N/WW)], "Watchful Waiting")</f>
        <v>1</v>
      </c>
      <c r="T5" s="21" t="s">
        <v>70</v>
      </c>
      <c r="U5" s="21">
        <f>COUNTIFS(March[Patient Prescribed Antibiotic (Y/N/WW)], "Watchful Waiting", March[Disease/Infection Type], "Gastrointestinal Disease")+COUNTIFS(March[Patient Prescribed Antibiotic (Y/N/WW)], "Watchful Waiting", March[Disease/Infection Type2], "Gastrointestinal Disease")+COUNTIFS(March[Patient Prescribed Antibiotic (Y/N/WW)], "Watchful Waiting", March[Disease/Infection Type3], "Gastrointestinal Disease")</f>
        <v>0</v>
      </c>
      <c r="V5" s="21">
        <f>COUNTIFS(March[Patient Prescribed Antibiotic (Y/N/WW)], "Watchful Waiting", March[Disease/Infection Type], "Upper Respiratory Tract Disease")+COUNTIFS(March[Patient Prescribed Antibiotic (Y/N/WW)], "Watchful Waiting", March[Disease/Infection Type2], "Upper Respiratory Tract Disease")+COUNTIFS(March[Patient Prescribed Antibiotic (Y/N/WW)], "Watchful Waiting", March[Disease/Infection Type3], "Upper Respiratory Tract Disease")</f>
        <v>0</v>
      </c>
    </row>
    <row r="6" spans="1:22">
      <c r="A6" s="21" t="s">
        <v>72</v>
      </c>
      <c r="B6" s="21">
        <f>'Total Patients'!C14</f>
        <v>10</v>
      </c>
      <c r="D6" s="21" t="s">
        <v>72</v>
      </c>
      <c r="E6" s="21">
        <f>COUNTIF(May[Patient Prescribed Antibiotic (Y/N/WW)], "Yes")</f>
        <v>5</v>
      </c>
      <c r="G6" s="21">
        <f>COUNTIF(May[Patient Prescribed Antibiotic (Y/N/WW)], "No")</f>
        <v>4</v>
      </c>
      <c r="I6" s="21">
        <f>COUNTIF(May[Patient Prescribed Antibiotic (Y/N/WW)], "Watchful Waiting")</f>
        <v>1</v>
      </c>
      <c r="T6" s="21" t="s">
        <v>71</v>
      </c>
      <c r="U6" s="21">
        <f>COUNTIFS(April[Patient Prescribed Antibiotic (Y/N/WW)], "Watchful Waiting", April[Disease/Infection Type], "Gastrointestinal Disease")+COUNTIFS(April[Patient Prescribed Antibiotic (Y/N/WW)], "Watchful Waiting", April[Disease/Infection Type2], "Gastrointestinal Disease")+COUNTIFS(April[Patient Prescribed Antibiotic (Y/N/WW)], "Watchful Waiting", April[Disease/Infection Type3], "Gastrointestinal Disease")</f>
        <v>0</v>
      </c>
      <c r="V6" s="21">
        <f>COUNTIFS(April[Patient Prescribed Antibiotic (Y/N/WW)], "Watchful Waiting", April[Disease/Infection Type], "Upper Respiratory Tract Disease")+COUNTIFS(April[Patient Prescribed Antibiotic (Y/N/WW)], "Watchful Waiting", April[Disease/Infection Type2], "Upper Respiratory Tract Disease")+COUNTIFS(April[Patient Prescribed Antibiotic (Y/N/WW)], "Watchful Waiting", April[Disease/Infection Type3], "Upper Respiratory Tract Disease")</f>
        <v>1</v>
      </c>
    </row>
    <row r="7" spans="1:22">
      <c r="A7" s="21" t="s">
        <v>73</v>
      </c>
      <c r="B7" s="21">
        <f>'Total Patients'!C15</f>
        <v>10</v>
      </c>
      <c r="D7" s="21" t="s">
        <v>73</v>
      </c>
      <c r="E7" s="21">
        <f>COUNTIF(June[Patient Prescribed Antibiotic (Y/N/WW)], "Yes")</f>
        <v>4</v>
      </c>
      <c r="G7" s="21">
        <f>COUNTIF(June[Patient Prescribed Antibiotic (Y/N/WW)], "No")</f>
        <v>4</v>
      </c>
      <c r="I7" s="21">
        <f>COUNTIF(June[Patient Prescribed Antibiotic (Y/N/WW)], "Watchful Waiting")</f>
        <v>2</v>
      </c>
      <c r="L7" s="21" t="s">
        <v>216</v>
      </c>
      <c r="M7" s="21">
        <f>E14</f>
        <v>49</v>
      </c>
      <c r="T7" s="21" t="s">
        <v>72</v>
      </c>
      <c r="U7" s="21">
        <f>COUNTIFS(May[Patient Prescribed Antibiotic (Y/N/WW)], "Watchful Waiting", May[Disease/Infection Type], "Gastrointestinal Disease")+COUNTIFS(May[Patient Prescribed Antibiotic (Y/N/WW)], "Watchful Waiting", May[Disease/Infection Type2], "Gastrointestinal Disease")+COUNTIFS(May[Patient Prescribed Antibiotic (Y/N/WW)], "Watchful Waiting", May[Disease/Infection Type3], "Gastrointestinal Disease")</f>
        <v>0</v>
      </c>
      <c r="V7" s="21">
        <f>COUNTIFS(May[Patient Prescribed Antibiotic (Y/N/WW)], "Watchful Waiting", May[Disease/Infection Type], "Upper Respiratory Tract Disease")+COUNTIFS(May[Patient Prescribed Antibiotic (Y/N/WW)], "Watchful Waiting", May[Disease/Infection Type2], "Upper Respiratory Tract Disease")+COUNTIFS(May[Patient Prescribed Antibiotic (Y/N/WW)], "Watchful Waiting", May[Disease/Infection Type3], "Upper Respiratory Tract Disease")</f>
        <v>1</v>
      </c>
    </row>
    <row r="8" spans="1:22">
      <c r="A8" s="21" t="s">
        <v>74</v>
      </c>
      <c r="B8" s="21">
        <f>'Total Patients'!C16</f>
        <v>10</v>
      </c>
      <c r="D8" s="21" t="s">
        <v>74</v>
      </c>
      <c r="E8" s="21">
        <f>COUNTIF(July[Patient Prescribed Antibiotic (Y/N/WW)], "Yes")</f>
        <v>4</v>
      </c>
      <c r="G8" s="21">
        <f>COUNTIF(July[Patient Prescribed Antibiotic (Y/N/WW)], "No")</f>
        <v>5</v>
      </c>
      <c r="I8" s="21">
        <f>COUNTIF(July[Patient Prescribed Antibiotic (Y/N/WW)], "Watchful Waiting")</f>
        <v>1</v>
      </c>
      <c r="L8" s="21" t="s">
        <v>295</v>
      </c>
      <c r="M8" s="21">
        <f>B14</f>
        <v>120</v>
      </c>
      <c r="T8" s="21" t="s">
        <v>73</v>
      </c>
      <c r="U8" s="21">
        <f>COUNTIFS(June[Patient Prescribed Antibiotic (Y/N/WW)], "Watchful Waiting", June[Disease/Infection Type], "Gastrointestinal Disease")+COUNTIFS(June[Patient Prescribed Antibiotic (Y/N/WW)], "Watchful Waiting", June[Disease/Infection Type2], "Gastrointestinal Disease")+COUNTIFS(June[Patient Prescribed Antibiotic (Y/N/WW)], "Watchful Waiting", June[Disease/Infection Type3], "Gastrointestinal Disease")</f>
        <v>1</v>
      </c>
      <c r="V8" s="21">
        <f>COUNTIFS(June[Patient Prescribed Antibiotic (Y/N/WW)], "Watchful Waiting", June[Disease/Infection Type], "Upper Respiratory Tract Disease")+COUNTIFS(June[Patient Prescribed Antibiotic (Y/N/WW)], "Watchful Waiting", June[Disease/Infection Type2], "Upper Respiratory Tract Disease")+COUNTIFS(June[Patient Prescribed Antibiotic (Y/N/WW)], "Watchful Waiting", June[Disease/Infection Type3], "Upper Respiratory Tract Disease")</f>
        <v>1</v>
      </c>
    </row>
    <row r="9" spans="1:22">
      <c r="A9" s="21" t="s">
        <v>75</v>
      </c>
      <c r="B9" s="21">
        <f>'Total Patients'!C17</f>
        <v>10</v>
      </c>
      <c r="D9" s="21" t="s">
        <v>75</v>
      </c>
      <c r="E9" s="21">
        <f>COUNTIF(August[Patient Prescribed Antibiotic (Y/N/WW)], "Yes")</f>
        <v>3</v>
      </c>
      <c r="G9" s="21">
        <f>COUNTIF(August[Patient Prescribed Antibiotic (Y/N/WW)], "No")</f>
        <v>5</v>
      </c>
      <c r="I9" s="21">
        <f>COUNTIF(August[Patient Prescribed Antibiotic (Y/N/WW)], "Watchful Waiting")</f>
        <v>2</v>
      </c>
      <c r="M9" s="33">
        <f>(M7/M8)</f>
        <v>0.40833333333333333</v>
      </c>
      <c r="T9" s="21" t="s">
        <v>74</v>
      </c>
      <c r="U9" s="21">
        <f>COUNTIFS(July[Patient Prescribed Antibiotic (Y/N/WW)], "Watchful Waiting", July[Disease/Infection Type], "Gastrointestinal Disease")+COUNTIFS(July[Patient Prescribed Antibiotic (Y/N/WW)], "Watchful Waiting", July[Disease/Infection Type2], "Gastrointestinal Disease")+COUNTIFS(July[Patient Prescribed Antibiotic (Y/N/WW)], "Watchful Waiting", July[Disease/Infection Type3], "Gastrointestinal Disease")</f>
        <v>1</v>
      </c>
      <c r="V9" s="21">
        <f>COUNTIFS(July[Patient Prescribed Antibiotic (Y/N/WW)], "Watchful Waiting", July[Disease/Infection Type], "Upper Respiratory Tract Disease")+COUNTIFS(July[Patient Prescribed Antibiotic (Y/N/WW)], "Watchful Waiting", July[Disease/Infection Type2], "Upper Respiratory Tract Disease")+COUNTIFS(July[Patient Prescribed Antibiotic (Y/N/WW)], "Watchful Waiting", July[Disease/Infection Type3], "Upper Respiratory Tract Disease")</f>
        <v>0</v>
      </c>
    </row>
    <row r="10" spans="1:22">
      <c r="A10" s="21" t="s">
        <v>76</v>
      </c>
      <c r="B10" s="21">
        <f>'Total Patients'!C18</f>
        <v>10</v>
      </c>
      <c r="D10" s="21" t="s">
        <v>76</v>
      </c>
      <c r="E10" s="21">
        <f>COUNTIF(September[Patient Prescribed Antibiotic (Y/N/WW)], "Yes")</f>
        <v>2</v>
      </c>
      <c r="G10" s="21">
        <f>COUNTIF(September[Patient Prescribed Antibiotic (Y/N/WW)], "No")</f>
        <v>8</v>
      </c>
      <c r="I10" s="21">
        <f>COUNTIF(September[Patient Prescribed Antibiotic (Y/N/WW)], "Watchful Waiting")</f>
        <v>0</v>
      </c>
      <c r="M10" s="34">
        <f>1-M9</f>
        <v>0.59166666666666667</v>
      </c>
      <c r="T10" s="21" t="s">
        <v>75</v>
      </c>
      <c r="U10" s="21">
        <f>COUNTIFS(August[Patient Prescribed Antibiotic (Y/N/WW)], "Watchful Waiting", August[Disease/Infection Type], "Gastrointestinal Disease")+COUNTIFS(August[Patient Prescribed Antibiotic (Y/N/WW)], "Watchful Waiting", August[Disease/Infection Type2], "Gastrointestinal Disease")+COUNTIFS(August[Patient Prescribed Antibiotic (Y/N/WW)], "Watchful Waiting", August[Disease/Infection Type3], "Gastrointestinal Disease")</f>
        <v>1</v>
      </c>
      <c r="V10" s="21">
        <f>COUNTIFS(August[Patient Prescribed Antibiotic (Y/N/WW)], "Watchful Waiting", August[Disease/Infection Type], "Upper Respiratory Tract Disease")+COUNTIFS(August[Patient Prescribed Antibiotic (Y/N/WW)], "Watchful Waiting", August[Disease/Infection Type2], "Upper Respiratory Tract Disease")+COUNTIFS(August[Patient Prescribed Antibiotic (Y/N/WW)], "Watchful Waiting", August[Disease/Infection Type3], "Upper Respiratory Tract Disease")</f>
        <v>1</v>
      </c>
    </row>
    <row r="11" spans="1:22">
      <c r="A11" s="21" t="s">
        <v>77</v>
      </c>
      <c r="B11" s="21">
        <f>'Total Patients'!C19</f>
        <v>10</v>
      </c>
      <c r="D11" s="21" t="s">
        <v>77</v>
      </c>
      <c r="E11" s="21">
        <f>COUNTIF(October[Patient Prescribed Antibiotic (Y/N/WW)], "Yes")</f>
        <v>3</v>
      </c>
      <c r="G11" s="21">
        <f>COUNTIF(October[Patient Prescribed Antibiotic (Y/N/WW)], "No")</f>
        <v>6</v>
      </c>
      <c r="I11" s="21">
        <f>COUNTIF(October[Patient Prescribed Antibiotic (Y/N/WW)], "Watchful Waiting")</f>
        <v>1</v>
      </c>
      <c r="T11" s="21" t="s">
        <v>76</v>
      </c>
      <c r="U11" s="21">
        <f>COUNTIFS(September[Patient Prescribed Antibiotic (Y/N/WW)], "Watchful Waiting", September[Disease/Infection Type], "Gastrointestinal Disease")+COUNTIFS(September[Patient Prescribed Antibiotic (Y/N/WW)], "Watchful Waiting", September[Disease/Infection Type2], "Gastrointestinal Disease")+COUNTIFS(September[Patient Prescribed Antibiotic (Y/N/WW)], "Watchful Waiting", September[Disease/Infection Type3], "Gastrointestinal Disease")</f>
        <v>0</v>
      </c>
      <c r="V11" s="21">
        <f>COUNTIFS(September[Patient Prescribed Antibiotic (Y/N/WW)], "Watchful Waiting", September[Disease/Infection Type], "Upper Respiratory Tract Disease")+COUNTIFS(September[Patient Prescribed Antibiotic (Y/N/WW)], "Watchful Waiting", September[Disease/Infection Type2], "Upper Respiratory Tract Disease")+COUNTIFS(September[Patient Prescribed Antibiotic (Y/N/WW)], "Watchful Waiting", September[Disease/Infection Type3], "Upper Respiratory Tract Disease")</f>
        <v>0</v>
      </c>
    </row>
    <row r="12" spans="1:22">
      <c r="A12" s="21" t="s">
        <v>78</v>
      </c>
      <c r="B12" s="21">
        <f>'Total Patients'!C20</f>
        <v>10</v>
      </c>
      <c r="D12" s="21" t="s">
        <v>78</v>
      </c>
      <c r="E12" s="21">
        <f>COUNTIF(November[Patient Prescribed Antibiotic (Y/N/WW)], "Yes")</f>
        <v>4</v>
      </c>
      <c r="G12" s="21">
        <f>COUNTIF(November[Patient Prescribed Antibiotic (Y/N/WW)], "No")</f>
        <v>6</v>
      </c>
      <c r="I12" s="21">
        <f>COUNTIF(November[Patient Prescribed Antibiotic (Y/N/WW)], "Watchful Waiting")</f>
        <v>0</v>
      </c>
      <c r="T12" s="21" t="s">
        <v>77</v>
      </c>
      <c r="U12" s="21">
        <f>COUNTIFS(October[Patient Prescribed Antibiotic (Y/N/WW)], "Watchful Waiting", October[Disease/Infection Type], "Gastrointestinal Disease")+COUNTIFS(October[Patient Prescribed Antibiotic (Y/N/WW)], "Watchful Waiting", October[Disease/Infection Type2], "Gastrointestinal Disease")+COUNTIFS(October[Patient Prescribed Antibiotic (Y/N/WW)], "Watchful Waiting", October[Disease/Infection Type3], "Gastrointestinal Disease")</f>
        <v>0</v>
      </c>
      <c r="V12" s="21">
        <f>COUNTIFS(October[Patient Prescribed Antibiotic (Y/N/WW)], "Watchful Waiting", October[Disease/Infection Type], "Upper Respiratory Tract Disease")+COUNTIFS(October[Patient Prescribed Antibiotic (Y/N/WW)], "Watchful Waiting", October[Disease/Infection Type2], "Upper Respiratory Tract Disease")+COUNTIFS(October[Patient Prescribed Antibiotic (Y/N/WW)], "Watchful Waiting", October[Disease/Infection Type3], "Upper Respiratory Tract Disease")</f>
        <v>1</v>
      </c>
    </row>
    <row r="13" spans="1:22">
      <c r="A13" s="21" t="s">
        <v>214</v>
      </c>
      <c r="B13" s="21">
        <f>'Total Patients'!C21</f>
        <v>10</v>
      </c>
      <c r="D13" s="21" t="s">
        <v>79</v>
      </c>
      <c r="E13" s="21">
        <f>COUNTIF(December[Patient Prescribed Antibiotic (Y/N/WW)], "Yes")</f>
        <v>2</v>
      </c>
      <c r="G13" s="21">
        <f>COUNTIF(December[Patient Prescribed Antibiotic (Y/N/WW)], "No")</f>
        <v>6</v>
      </c>
      <c r="I13" s="21">
        <f>COUNTIF(December[Patient Prescribed Antibiotic (Y/N/WW)], "Watchful Waiting")</f>
        <v>2</v>
      </c>
      <c r="T13" s="21" t="s">
        <v>78</v>
      </c>
      <c r="U13" s="21">
        <f>COUNTIFS(November[Patient Prescribed Antibiotic (Y/N/WW)], "Watchful Waiting", November[Disease/Infection Type], "Gastrointestinal Disease")+COUNTIFS(November[Patient Prescribed Antibiotic (Y/N/WW)], "Watchful Waiting", November[Disease/Infection Type2], "Gastrointestinal Disease")+COUNTIFS(November[Patient Prescribed Antibiotic (Y/N/WW)], "Watchful Waiting", November[Disease/Infection Type3], "Gastrointestinal Disease")</f>
        <v>0</v>
      </c>
      <c r="V13" s="21">
        <f>COUNTIFS(November[Patient Prescribed Antibiotic (Y/N/WW)], "Watchful Waiting", November[Disease/Infection Type], "Upper Respiratory Tract Disease")+COUNTIFS(November[Patient Prescribed Antibiotic (Y/N/WW)], "Watchful Waiting", November[Disease/Infection Type2], "Upper Respiratory Tract Disease")+COUNTIFS(November[Patient Prescribed Antibiotic (Y/N/WW)], "Watchful Waiting", November[Disease/Infection Type3], "Upper Respiratory Tract Disease")</f>
        <v>0</v>
      </c>
    </row>
    <row r="14" spans="1:22">
      <c r="A14" s="21" t="s">
        <v>215</v>
      </c>
      <c r="B14" s="21">
        <f>SUM(B2:B13)</f>
        <v>120</v>
      </c>
      <c r="D14" s="21" t="s">
        <v>216</v>
      </c>
      <c r="E14" s="21">
        <f>SUM(E2:E13)</f>
        <v>49</v>
      </c>
      <c r="G14" s="21">
        <f>SUM(G2:G13)</f>
        <v>57</v>
      </c>
      <c r="I14" s="21">
        <f>SUM(I2:I13)</f>
        <v>14</v>
      </c>
      <c r="T14" s="21" t="s">
        <v>79</v>
      </c>
      <c r="U14" s="21">
        <f>COUNTIFS(December[Patient Prescribed Antibiotic (Y/N/WW)], "Watchful Waiting", December[Disease/Infection Type], "Gastrointestinal Disease")+COUNTIFS(December[Patient Prescribed Antibiotic (Y/N/WW)], "Watchful Waiting", December[Disease/Infection Type2], "Gastrointestinal Disease")+COUNTIFS(December[Patient Prescribed Antibiotic (Y/N/WW)], "Watchful Waiting", December[Disease/Infection Type3], "Gastrointestinal Disease")</f>
        <v>0</v>
      </c>
      <c r="V14" s="21">
        <f>COUNTIFS(December[Patient Prescribed Antibiotic (Y/N/WW)], "Watchful Waiting", December[Disease/Infection Type], "Upper Respiratory Tract Disease")+COUNTIFS(December[Patient Prescribed Antibiotic (Y/N/WW)], "Watchful Waiting", December[Disease/Infection Type2], "Upper Respiratory Tract Disease")+COUNTIFS(December[Patient Prescribed Antibiotic (Y/N/WW)], "Watchful Waiting", December[Disease/Infection Type3], "Upper Respiratory Tract Disease")</f>
        <v>1</v>
      </c>
    </row>
    <row r="15" spans="1:22">
      <c r="T15" s="21" t="s">
        <v>212</v>
      </c>
      <c r="U15" s="21">
        <f>SUM(U3:U14)</f>
        <v>4</v>
      </c>
      <c r="V15" s="21">
        <f>SUM(V3:V14)</f>
        <v>9</v>
      </c>
    </row>
    <row r="16" spans="1:22">
      <c r="U16" s="21" t="s">
        <v>102</v>
      </c>
      <c r="V16" s="21" t="s">
        <v>277</v>
      </c>
    </row>
    <row r="18" spans="1:16">
      <c r="A18" s="35" t="s">
        <v>231</v>
      </c>
      <c r="B18" s="21" t="s">
        <v>68</v>
      </c>
      <c r="C18" s="21" t="s">
        <v>69</v>
      </c>
      <c r="D18" s="21" t="s">
        <v>70</v>
      </c>
      <c r="E18" s="21" t="s">
        <v>71</v>
      </c>
      <c r="F18" s="21" t="s">
        <v>72</v>
      </c>
      <c r="G18" s="21" t="s">
        <v>73</v>
      </c>
      <c r="H18" s="21" t="s">
        <v>74</v>
      </c>
      <c r="I18" s="21" t="s">
        <v>75</v>
      </c>
      <c r="J18" s="21" t="s">
        <v>76</v>
      </c>
      <c r="K18" s="21" t="s">
        <v>77</v>
      </c>
      <c r="L18" s="21" t="s">
        <v>78</v>
      </c>
      <c r="M18" s="21" t="s">
        <v>79</v>
      </c>
      <c r="N18" s="21" t="s">
        <v>212</v>
      </c>
      <c r="O18" s="21" t="s">
        <v>234</v>
      </c>
      <c r="P18" s="21" t="s">
        <v>233</v>
      </c>
    </row>
    <row r="19" spans="1:16">
      <c r="A19" s="21" t="s">
        <v>90</v>
      </c>
      <c r="B19" s="21">
        <f>SUMIF(January[Disease/Infection Type], "Dental Disease",January[[Number of Antibiotics Prescribed for this Condition ]])+SUMIF(January[Disease/Infection Type2], "Dental Disease",January[Number of Antibiotics Prescribed for this Condition2])+SUMIF(January[Disease/Infection Type3], "Dental Disease",January[Number of Antibiotics Prescribed for this Condition3])</f>
        <v>0</v>
      </c>
      <c r="C19" s="21">
        <f>SUMIF(February[Disease/Infection Type], "Dental Disease",February[[Number of Antibiotics Prescribed for this Condition ]])+SUMIF(February[Disease/Infection Type2], "Dental Disease",February[Number of Antibiotics Prescribed for this Condition2])+SUMIF(February[Disease/Infection Type3], "Dental Disease",February[Number of Antibiotics Prescribed for this Condition3])</f>
        <v>1</v>
      </c>
      <c r="D19" s="21">
        <f>SUMIF(March[Disease/Infection Type], "Dental Disease",March[[Number of Antibiotics Prescribed for this Condition ]])+SUMIF(March[Disease/Infection Type2], "Dental Disease",March[Number of Antibiotics Prescribed for this Condition2])+SUMIF(March[Disease/Infection Type3], "Dental Disease",March[Number of Antibiotics Prescribed for this Condition3])</f>
        <v>0</v>
      </c>
      <c r="E19" s="21">
        <f>SUMIF(April[Disease/Infection Type], "Dental Disease",April[[Number of Antibiotics Prescribed for this Condition ]])+SUMIF(April[Disease/Infection Type2], "Dental Disease",April[Number of Antibiotics Prescribed for this Condition2])+SUMIF(April[Disease/Infection Type3], "Dental Disease",April[Number of Antibiotics Prescribed for this Condition3])</f>
        <v>0</v>
      </c>
      <c r="F19" s="21">
        <f>SUMIF(May[Disease/Infection Type], "Dental Disease",May[[Number of Antibiotics Prescribed for this Condition ]])+SUMIF(May[Disease/Infection Type2], "Dental Disease",May[Number of Antibiotics Prescribed for this Condition2])+SUMIF(May[Disease/Infection Type3], "Dental Disease",May[Number of Antibiotics Prescribed for this Condition3])</f>
        <v>1</v>
      </c>
      <c r="G19" s="21">
        <f>SUMIF(June[Disease/Infection Type], "Dental Disease",June[[Number of Antibiotics Prescribed for this Condition ]])+SUMIF(June[Disease/Infection Type2], "Dental Disease",June[Number of Antibiotics Prescribed for this Condition2])+SUMIF(June[Disease/Infection Type3], "Dental Disease",June[Number of Antibiotics Prescribed for this Condition3])</f>
        <v>0</v>
      </c>
      <c r="H19" s="21">
        <f>SUMIF(July[Disease/Infection Type], "Dental Disease",July[[Number of Antibiotics Prescribed for this Condition ]])+SUMIF(July[Disease/Infection Type2], "Dental Disease",July[Number of Antibiotics Prescribed for this Condition2])+SUMIF(July[Disease/Infection Type3], "Dental Disease",July[Number of Antibiotics Prescribed for this Condition3])</f>
        <v>0</v>
      </c>
      <c r="I19" s="21">
        <f>SUMIF(August[Disease/Infection Type], "Dental Disease",August[[Number of Antibiotics Prescribed for this Condition ]])+SUMIF(August[Disease/Infection Type2], "Dental Disease",August[Number of Antibiotics Prescribed for this Condition2])+SUMIF(August[Disease/Infection Type3], "Dental Disease",August[Number of Antibiotics Prescribed for this Condition3])</f>
        <v>0</v>
      </c>
      <c r="J19" s="21">
        <f>SUMIF(September[Disease/Infection Type], "Dental Disease",September[[Number of Antibiotics Prescribed for this Condition ]])+SUMIF(September[Disease/Infection Type2], "Dental Disease",September[Number of Antibiotics Prescribed for this Condition2])+SUMIF(September[Disease/Infection Type3], "Dental Disease",September[Number of Antibiotics Prescribed for this Condition3])</f>
        <v>0</v>
      </c>
      <c r="K19" s="21">
        <f>SUMIF(October[Disease/Infection Type], "Dental Disease",October[[Number of Antibiotics Prescribed for this Condition ]])+SUMIF(October[Disease/Infection Type2], "Dental Disease",October[Number of Antibiotics Prescribed for this Condition2])+SUMIF(October[Disease/Infection Type3], "Dental Disease",October[Number of Antibiotics Prescribed for this Condition3])</f>
        <v>1</v>
      </c>
      <c r="L19" s="21">
        <f>SUMIF(November[Disease/Infection Type], "Dental Disease",November[[Number of Antibiotics Prescribed for this Condition ]])+SUMIF(November[Disease/Infection Type2], "Dental Disease",November[Number of Antibiotics Prescribed for this Condition2])+SUMIF(November[Disease/Infection Type3], "Dental Disease",November[Number of Antibiotics Prescribed for this Condition3])</f>
        <v>0</v>
      </c>
      <c r="M19" s="21">
        <f>SUMIF(December[Disease/Infection Type], "Dental Disease",December[[Number of Antibiotics Prescribed for this Condition ]])+SUMIF(December[Disease/Infection Type2], "Dental Disease",December[Number of Antibiotics Prescribed for this Condition2])+SUMIF(December[Disease/Infection Type3], "Dental Disease",December[Number of Antibiotics Prescribed for this Condition3])</f>
        <v>0</v>
      </c>
      <c r="N19" s="21">
        <f>SUM(B19:M19)</f>
        <v>3</v>
      </c>
      <c r="O19" s="21">
        <f>(N19/N37)*100</f>
        <v>4.7619047619047619</v>
      </c>
      <c r="P19" s="21" t="s">
        <v>296</v>
      </c>
    </row>
    <row r="20" spans="1:16">
      <c r="A20" s="21" t="s">
        <v>86</v>
      </c>
      <c r="B20" s="21">
        <f>SUMIF(January[Disease/Infection Type], "Dermatologic Disease",January[[Number of Antibiotics Prescribed for this Condition ]])+SUMIF(January[Disease/Infection Type2], "Dermatologic Disease",January[Number of Antibiotics Prescribed for this Condition2])+SUMIF(January[Disease/Infection Type3], "Dermatologic Disease",January[Number of Antibiotics Prescribed for this Condition3])</f>
        <v>1</v>
      </c>
      <c r="C20" s="21">
        <f>SUMIF(February[Disease/Infection Type], "Dermatologic Disease",February[[Number of Antibiotics Prescribed for this Condition ]])+SUMIF(February[Disease/Infection Type2], "Dermatologic Disease",February[Number of Antibiotics Prescribed for this Condition2])+SUMIF(February[Disease/Infection Type3], "Dermatologic Disease",February[Number of Antibiotics Prescribed for this Condition3])</f>
        <v>0</v>
      </c>
      <c r="D20" s="21">
        <f>SUMIF(March[Disease/Infection Type], "Dermatologic Disease",March[[Number of Antibiotics Prescribed for this Condition ]])+SUMIF(March[Disease/Infection Type2], "Dermatologic Disease",March[Number of Antibiotics Prescribed for this Condition2])+SUMIF(March[Disease/Infection Type3], "Dermatologic Disease",March[Number of Antibiotics Prescribed for this Condition3])</f>
        <v>2</v>
      </c>
      <c r="E20" s="21">
        <f>SUMIF(April[Disease/Infection Type], "Dermatologic Disease",April[[Number of Antibiotics Prescribed for this Condition ]])+SUMIF(April[Disease/Infection Type2], "Dermatologic Disease",April[Number of Antibiotics Prescribed for this Condition2])+SUMIF(April[Disease/Infection Type3], "Dermatologic Disease",April[Number of Antibiotics Prescribed for this Condition3])</f>
        <v>0</v>
      </c>
      <c r="F20" s="21">
        <f>SUMIF(May[Disease/Infection Type], "Dermatologic Disease",May[[Number of Antibiotics Prescribed for this Condition ]])+SUMIF(May[Disease/Infection Type2], "Dermatologic Disease",May[Number of Antibiotics Prescribed for this Condition2])+SUMIF(May[Disease/Infection Type3], "Dermatologic Disease",May[Number of Antibiotics Prescribed for this Condition3])</f>
        <v>0</v>
      </c>
      <c r="G20" s="21">
        <f>SUMIF(June[Disease/Infection Type], "Dermatologic Disease",June[[Number of Antibiotics Prescribed for this Condition ]])+SUMIF(June[Disease/Infection Type2], "Dermatologic Disease",June[Number of Antibiotics Prescribed for this Condition2])+SUMIF(June[Disease/Infection Type3], "Dermatologic Disease",June[Number of Antibiotics Prescribed for this Condition3])</f>
        <v>1</v>
      </c>
      <c r="H20" s="21">
        <f>SUMIF(July[Disease/Infection Type], "Dermatologic Disease",July[[Number of Antibiotics Prescribed for this Condition ]])+SUMIF(July[Disease/Infection Type2], "Dermatologic Disease",July[Number of Antibiotics Prescribed for this Condition2])+SUMIF(July[Disease/Infection Type3], "Dermatologic Disease",July[Number of Antibiotics Prescribed for this Condition3])</f>
        <v>2</v>
      </c>
      <c r="I20" s="21">
        <f>SUMIF(August[Disease/Infection Type], "Dermatologic Disease",August[[Number of Antibiotics Prescribed for this Condition ]])+SUMIF(August[Disease/Infection Type2], "Dermatologic Disease",August[Number of Antibiotics Prescribed for this Condition2])+SUMIF(August[Disease/Infection Type3], "Dermatologic Disease",August[Number of Antibiotics Prescribed for this Condition3])</f>
        <v>0</v>
      </c>
      <c r="J20" s="21">
        <f>SUMIF(September[Disease/Infection Type], "Dermatologic Disease",September[[Number of Antibiotics Prescribed for this Condition ]])+SUMIF(September[Disease/Infection Type2], "Dermatologic Disease",September[Number of Antibiotics Prescribed for this Condition2])+SUMIF(September[Disease/Infection Type3], "Dermatologic Disease",September[Number of Antibiotics Prescribed for this Condition3])</f>
        <v>0</v>
      </c>
      <c r="K20" s="21">
        <f>SUMIF(October[Disease/Infection Type], "Dermatologic Disease",October[[Number of Antibiotics Prescribed for this Condition ]])+SUMIF(October[Disease/Infection Type2], "Dermatologic Disease",October[Number of Antibiotics Prescribed for this Condition2])+SUMIF(October[Disease/Infection Type3], "Dermatologic Disease",October[Number of Antibiotics Prescribed for this Condition3])</f>
        <v>0</v>
      </c>
      <c r="L20" s="21">
        <f>SUMIF(November[Disease/Infection Type], "Dermatologic Disease",November[[Number of Antibiotics Prescribed for this Condition ]])+SUMIF(November[Disease/Infection Type2], "Dermatologic Disease",November[Number of Antibiotics Prescribed for this Condition2])+SUMIF(November[Disease/Infection Type3], "Dermatologic Disease",November[Number of Antibiotics Prescribed for this Condition3])</f>
        <v>0</v>
      </c>
      <c r="M20" s="21">
        <f>SUMIF(December[Disease/Infection Type], "Dermatologic Disease",December[[Number of Antibiotics Prescribed for this Condition ]])+SUMIF(December[Disease/Infection Type2], "Dermatologic Disease",December[Number of Antibiotics Prescribed for this Condition2])+SUMIF(December[Disease/Infection Type3], "Dermatologic Disease",December[Number of Antibiotics Prescribed for this Condition3])</f>
        <v>0</v>
      </c>
      <c r="N20" s="21">
        <f t="shared" ref="N20:N36" si="0">SUM(B20:M20)</f>
        <v>6</v>
      </c>
      <c r="O20" s="21">
        <f>(N20/N37)*100</f>
        <v>9.5238095238095237</v>
      </c>
      <c r="P20" s="21" t="s">
        <v>297</v>
      </c>
    </row>
    <row r="21" spans="1:16">
      <c r="A21" s="21" t="s">
        <v>102</v>
      </c>
      <c r="B21" s="21">
        <f>SUMIF(January[Disease/Infection Type], "Gastrointestinal Disease",January[[Number of Antibiotics Prescribed for this Condition ]])+SUMIF(January[Disease/Infection Type2], "Gastrointestinal Disease",January[Number of Antibiotics Prescribed for this Condition2])+SUMIF(January[Disease/Infection Type3], "Gastrointestinal Disease",January[Number of Antibiotics Prescribed for this Condition3])</f>
        <v>1</v>
      </c>
      <c r="C21" s="21">
        <f>SUMIF(February[Disease/Infection Type], "Gastrointestinal Disease",February[[Number of Antibiotics Prescribed for this Condition ]])+SUMIF(February[Disease/Infection Type2], "Gastrointestinal Disease",February[Number of Antibiotics Prescribed for this Condition2])+SUMIF(February[Disease/Infection Type3], "Gastrointestinal Disease",February[Number of Antibiotics Prescribed for this Condition3])</f>
        <v>1</v>
      </c>
      <c r="D21" s="21">
        <f>SUMIF(March[Disease/Infection Type], "Gastrointestinal Disease",March[[Number of Antibiotics Prescribed for this Condition ]])+SUMIF(March[Disease/Infection Type2], "Gastrointestinal Disease",March[Number of Antibiotics Prescribed for this Condition2])+SUMIF(March[Disease/Infection Type3], "Gastrointestinal Disease",March[Number of Antibiotics Prescribed for this Condition3])</f>
        <v>1</v>
      </c>
      <c r="E21" s="21">
        <f>SUMIF(April[Disease/Infection Type], "Gastrointestinal Disease",April[[Number of Antibiotics Prescribed for this Condition ]])+SUMIF(April[Disease/Infection Type2], "Gastrointestinal Disease",April[Number of Antibiotics Prescribed for this Condition2])+SUMIF(April[Disease/Infection Type3], "Gastrointestinal Disease",April[Number of Antibiotics Prescribed for this Condition3])</f>
        <v>1</v>
      </c>
      <c r="F21" s="21">
        <f>SUMIF(May[Disease/Infection Type], "Gastrointestinal Disease",May[[Number of Antibiotics Prescribed for this Condition ]])+SUMIF(May[Disease/Infection Type2], "Gastrointestinal Disease",May[Number of Antibiotics Prescribed for this Condition2])+SUMIF(May[Disease/Infection Type3], "Gastrointestinal Disease",May[Number of Antibiotics Prescribed for this Condition3])</f>
        <v>0</v>
      </c>
      <c r="G21" s="21">
        <f>SUMIF(June[Disease/Infection Type], "Gastrointestinal Disease",June[[Number of Antibiotics Prescribed for this Condition ]])+SUMIF(June[Disease/Infection Type2], "Gastrointestinal Disease",June[Number of Antibiotics Prescribed for this Condition2])+SUMIF(June[Disease/Infection Type3], "Gastrointestinal Disease",June[Number of Antibiotics Prescribed for this Condition3])</f>
        <v>0</v>
      </c>
      <c r="H21" s="21">
        <f>SUMIF(July[Disease/Infection Type], "Gastrointestinal Disease",July[[Number of Antibiotics Prescribed for this Condition ]])+SUMIF(July[Disease/Infection Type2], "Gastrointestinal Disease",July[Number of Antibiotics Prescribed for this Condition2])+SUMIF(July[Disease/Infection Type3], "Gastrointestinal Disease",July[Number of Antibiotics Prescribed for this Condition3])</f>
        <v>1</v>
      </c>
      <c r="I21" s="21">
        <f>SUMIF(August[Disease/Infection Type], "Gastrointestinal Disease",August[[Number of Antibiotics Prescribed for this Condition ]])+SUMIF(August[Disease/Infection Type2], "Gastrointestinal Disease",August[Number of Antibiotics Prescribed for this Condition2])+SUMIF(August[Disease/Infection Type3], "Gastrointestinal Disease",August[Number of Antibiotics Prescribed for this Condition3])</f>
        <v>0</v>
      </c>
      <c r="J21" s="21">
        <f>SUMIF(September[Disease/Infection Type], "Gastrointestinal Disease",September[[Number of Antibiotics Prescribed for this Condition ]])+SUMIF(September[Disease/Infection Type2], "Gastrointestinal Disease",September[Number of Antibiotics Prescribed for this Condition2])+SUMIF(September[Disease/Infection Type3], "Gastrointestinal Disease",September[Number of Antibiotics Prescribed for this Condition3])</f>
        <v>1</v>
      </c>
      <c r="K21" s="21">
        <f>SUMIF(October[Disease/Infection Type], "Gastrointestinal Disease",October[[Number of Antibiotics Prescribed for this Condition ]])+SUMIF(October[Disease/Infection Type2], "Gastrointestinal Disease",October[Number of Antibiotics Prescribed for this Condition2])+SUMIF(October[Disease/Infection Type3], "Gastrointestinal Disease",October[Number of Antibiotics Prescribed for this Condition3])</f>
        <v>0</v>
      </c>
      <c r="L21" s="21">
        <f>SUMIF(November[Disease/Infection Type], "Gastrointestinal Disease",November[[Number of Antibiotics Prescribed for this Condition ]])+SUMIF(November[Disease/Infection Type2], "Gastrointestinal Disease",November[Number of Antibiotics Prescribed for this Condition2])+SUMIF(November[Disease/Infection Type3], "Gastrointestinal Disease",November[Number of Antibiotics Prescribed for this Condition3])</f>
        <v>0</v>
      </c>
      <c r="M21" s="21">
        <f>SUMIF(December[Disease/Infection Type], "Gastrointestinal Disease",December[[Number of Antibiotics Prescribed for this Condition ]])+SUMIF(December[Disease/Infection Type2], "Gastrointestinal Disease",December[Number of Antibiotics Prescribed for this Condition2])+SUMIF(December[Disease/Infection Type3], "Gastrointestinal Disease",December[Number of Antibiotics Prescribed for this Condition3])</f>
        <v>1</v>
      </c>
      <c r="N21" s="21">
        <f t="shared" si="0"/>
        <v>7</v>
      </c>
      <c r="O21" s="21">
        <f>(N21/N37)*100</f>
        <v>11.111111111111111</v>
      </c>
      <c r="P21" s="21" t="s">
        <v>298</v>
      </c>
    </row>
    <row r="22" spans="1:16">
      <c r="A22" s="21" t="s">
        <v>245</v>
      </c>
      <c r="B22" s="21">
        <f>SUMIF(January[Disease/Infection Type], "Hepatic Disease",January[[Number of Antibiotics Prescribed for this Condition ]])+SUMIF(January[Disease/Infection Type2], "Hepatic Disease",January[Number of Antibiotics Prescribed for this Condition2])+SUMIF(January[Disease/Infection Type3], "Hepatic Disease",January[Number of Antibiotics Prescribed for this Condition3])</f>
        <v>0</v>
      </c>
      <c r="C22" s="21">
        <f>SUMIF(February[Disease/Infection Type], "Hepatic Disease",February[[Number of Antibiotics Prescribed for this Condition ]])+SUMIF(February[Disease/Infection Type2], "Hepatic Disease",February[Number of Antibiotics Prescribed for this Condition2])+SUMIF(February[Disease/Infection Type3], "Hepatic Disease",February[Number of Antibiotics Prescribed for this Condition3])</f>
        <v>0</v>
      </c>
      <c r="D22" s="21">
        <f>SUMIF(March[Disease/Infection Type], "Hepatic Disease",March[[Number of Antibiotics Prescribed for this Condition ]])+SUMIF(March[Disease/Infection Type2], "Hepatic Disease",March[Number of Antibiotics Prescribed for this Condition2])+SUMIF(March[Disease/Infection Type3], "Hepatic Disease",March[Number of Antibiotics Prescribed for this Condition3])</f>
        <v>0</v>
      </c>
      <c r="E22" s="21">
        <f>SUMIF(April[Disease/Infection Type], "Hepatic Disease",April[[Number of Antibiotics Prescribed for this Condition ]])+SUMIF(April[Disease/Infection Type2], "Hepatic Disease",April[Number of Antibiotics Prescribed for this Condition2])+SUMIF(April[Disease/Infection Type3], "Hepatic Disease",April[Number of Antibiotics Prescribed for this Condition3])</f>
        <v>0</v>
      </c>
      <c r="F22" s="21">
        <f>SUMIF(May[Disease/Infection Type], "Hepatic Disease",May[[Number of Antibiotics Prescribed for this Condition ]])+SUMIF(May[Disease/Infection Type2], "Hepatic Disease",May[Number of Antibiotics Prescribed for this Condition2])+SUMIF(May[Disease/Infection Type3], "Hepatic Disease",May[Number of Antibiotics Prescribed for this Condition3])</f>
        <v>1</v>
      </c>
      <c r="G22" s="21">
        <f>SUMIF(June[Disease/Infection Type], "Hepatic Disease",June[[Number of Antibiotics Prescribed for this Condition ]])+SUMIF(June[Disease/Infection Type2], "Hepatic Disease",June[Number of Antibiotics Prescribed for this Condition2])+SUMIF(June[Disease/Infection Type3], "Hepatic Disease",June[Number of Antibiotics Prescribed for this Condition3])</f>
        <v>0</v>
      </c>
      <c r="H22" s="21">
        <f>SUMIF(July[Disease/Infection Type], "Hepatic Disease",July[[Number of Antibiotics Prescribed for this Condition ]])+SUMIF(July[Disease/Infection Type2], "Hepatic Disease",July[Number of Antibiotics Prescribed for this Condition2])+SUMIF(July[Disease/Infection Type3], "Hepatic Disease",July[Number of Antibiotics Prescribed for this Condition3])</f>
        <v>0</v>
      </c>
      <c r="I22" s="21">
        <f>SUMIF(August[Disease/Infection Type], "Hepatic Disease",August[[Number of Antibiotics Prescribed for this Condition ]])+SUMIF(August[Disease/Infection Type2], "Hepatic Disease",August[Number of Antibiotics Prescribed for this Condition2])+SUMIF(August[Disease/Infection Type3], "Hepatic Disease",August[Number of Antibiotics Prescribed for this Condition3])</f>
        <v>0</v>
      </c>
      <c r="J22" s="21">
        <f>SUMIF(September[Disease/Infection Type], "Hepatic Disease",September[[Number of Antibiotics Prescribed for this Condition ]])+SUMIF(September[Disease/Infection Type2], "Hepatic Disease",September[Number of Antibiotics Prescribed for this Condition2])+SUMIF(September[Disease/Infection Type3], "Hepatic Disease",September[Number of Antibiotics Prescribed for this Condition3])</f>
        <v>0</v>
      </c>
      <c r="K22" s="21">
        <f>SUMIF(October[Disease/Infection Type], "Hepatic Disease",October[[Number of Antibiotics Prescribed for this Condition ]])+SUMIF(October[Disease/Infection Type2], "Hepatic Disease",October[Number of Antibiotics Prescribed for this Condition2])+SUMIF(October[Disease/Infection Type3], "Hepatic Disease",October[Number of Antibiotics Prescribed for this Condition3])</f>
        <v>0</v>
      </c>
      <c r="L22" s="21">
        <f>SUMIF(November[Disease/Infection Type], "Hepatic Disease",November[[Number of Antibiotics Prescribed for this Condition ]])+SUMIF(November[Disease/Infection Type2], "Hepatic Disease",November[Number of Antibiotics Prescribed for this Condition2])+SUMIF(November[Disease/Infection Type3], "Hepatic Disease",November[Number of Antibiotics Prescribed for this Condition3])</f>
        <v>0</v>
      </c>
      <c r="M22" s="21">
        <f>SUMIF(December[Disease/Infection Type], "Hepatic Disease",December[[Number of Antibiotics Prescribed for this Condition ]])+SUMIF(December[Disease/Infection Type2], "Hepatic Disease",December[Number of Antibiotics Prescribed for this Condition2])+SUMIF(December[Disease/Infection Type3], "Hepatic Disease",December[Number of Antibiotics Prescribed for this Condition3])</f>
        <v>0</v>
      </c>
      <c r="N22" s="21">
        <f>SUM(B22:M22)</f>
        <v>1</v>
      </c>
      <c r="O22" s="21">
        <f>(N22/N37)*100</f>
        <v>1.5873015873015872</v>
      </c>
      <c r="P22" s="21" t="s">
        <v>299</v>
      </c>
    </row>
    <row r="23" spans="1:16">
      <c r="A23" s="21" t="s">
        <v>222</v>
      </c>
      <c r="B23" s="21">
        <f>SUMIF(January[Disease/Infection Type], "Leptospirosis",January[[Number of Antibiotics Prescribed for this Condition ]])+SUMIF(January[Disease/Infection Type2], "Leptospirosis",January[Number of Antibiotics Prescribed for this Condition2])+SUMIF(January[Disease/Infection Type3], "Leptospirosis",January[Number of Antibiotics Prescribed for this Condition3])</f>
        <v>0</v>
      </c>
      <c r="C23" s="21">
        <f>SUMIF(February[Disease/Infection Type], "Leptospirosis",February[[Number of Antibiotics Prescribed for this Condition ]])+SUMIF(February[Disease/Infection Type2], "Leptospirosis",February[Number of Antibiotics Prescribed for this Condition2])+SUMIF(February[Disease/Infection Type3], "Leptospirosis",February[Number of Antibiotics Prescribed for this Condition3])</f>
        <v>0</v>
      </c>
      <c r="D23" s="21">
        <f>SUMIF(March[Disease/Infection Type], "Leptospirosis",March[[Number of Antibiotics Prescribed for this Condition ]])+SUMIF(March[Disease/Infection Type2], "Leptospirosis",March[Number of Antibiotics Prescribed for this Condition2])+SUMIF(March[Disease/Infection Type3], "Leptospirosis",March[Number of Antibiotics Prescribed for this Condition3])</f>
        <v>1</v>
      </c>
      <c r="E23" s="21">
        <f>SUMIF(April[Disease/Infection Type], "Leptospirosis",April[[Number of Antibiotics Prescribed for this Condition ]])+SUMIF(April[Disease/Infection Type2], "Leptospirosis",April[Number of Antibiotics Prescribed for this Condition2])+SUMIF(April[Disease/Infection Type3], "Leptospirosis",April[Number of Antibiotics Prescribed for this Condition3])</f>
        <v>0</v>
      </c>
      <c r="F23" s="21">
        <f>SUMIF(May[Disease/Infection Type], "Leptospirosis",May[[Number of Antibiotics Prescribed for this Condition ]])+SUMIF(May[Disease/Infection Type2], "Leptospirosis",May[Number of Antibiotics Prescribed for this Condition2])+SUMIF(May[Disease/Infection Type3], "Leptospirosis",May[Number of Antibiotics Prescribed for this Condition3])</f>
        <v>1</v>
      </c>
      <c r="G23" s="21">
        <f>SUMIF(June[Disease/Infection Type], "Leptospirosis",June[[Number of Antibiotics Prescribed for this Condition ]])+SUMIF(June[Disease/Infection Type2], "Leptospirosis",June[Number of Antibiotics Prescribed for this Condition2])+SUMIF(June[Disease/Infection Type3], "Leptospirosis",June[Number of Antibiotics Prescribed for this Condition3])</f>
        <v>1</v>
      </c>
      <c r="H23" s="21">
        <f>SUMIF(July[Disease/Infection Type], "Leptospirosis",July[[Number of Antibiotics Prescribed for this Condition ]])+SUMIF(July[Disease/Infection Type2], "Leptospirosis",July[Number of Antibiotics Prescribed for this Condition2])+SUMIF(July[Disease/Infection Type3], "Leptospirosis",July[Number of Antibiotics Prescribed for this Condition3])</f>
        <v>0</v>
      </c>
      <c r="I23" s="21">
        <f>SUMIF(August[Disease/Infection Type], "Leptospirosis",August[[Number of Antibiotics Prescribed for this Condition ]])+SUMIF(August[Disease/Infection Type2], "Leptospirosis",August[Number of Antibiotics Prescribed for this Condition2])+SUMIF(August[Disease/Infection Type3], "Leptospirosis",August[Number of Antibiotics Prescribed for this Condition3])</f>
        <v>0</v>
      </c>
      <c r="J23" s="21">
        <f>SUMIF(September[Disease/Infection Type], "Leptospirosis",September[[Number of Antibiotics Prescribed for this Condition ]])+SUMIF(September[Disease/Infection Type2], "Leptospirosis",September[Number of Antibiotics Prescribed for this Condition2])+SUMIF(September[Disease/Infection Type3], "Leptospirosis",September[Number of Antibiotics Prescribed for this Condition3])</f>
        <v>0</v>
      </c>
      <c r="K23" s="21">
        <f>SUMIF(October[Disease/Infection Type], "Leptospirosis",October[[Number of Antibiotics Prescribed for this Condition ]])+SUMIF(October[Disease/Infection Type2], "Leptospirosis",October[Number of Antibiotics Prescribed for this Condition2])+SUMIF(October[Disease/Infection Type3], "Leptospirosis",October[Number of Antibiotics Prescribed for this Condition3])</f>
        <v>0</v>
      </c>
      <c r="L23" s="21">
        <f>SUMIF(November[Disease/Infection Type], "Leptospirosis",November[[Number of Antibiotics Prescribed for this Condition ]])+SUMIF(November[Disease/Infection Type2], "Leptospirosis",November[Number of Antibiotics Prescribed for this Condition2])+SUMIF(November[Disease/Infection Type3], "Leptospirosis",November[Number of Antibiotics Prescribed for this Condition3])</f>
        <v>1</v>
      </c>
      <c r="M23" s="21">
        <f>SUMIF(December[Disease/Infection Type], "Leptospirosis",December[[Number of Antibiotics Prescribed for this Condition ]])+SUMIF(December[Disease/Infection Type2], "Leptospirosis",December[Number of Antibiotics Prescribed for this Condition2])+SUMIF(December[Disease/Infection Type3], "Leptospirosis",December[Number of Antibiotics Prescribed for this Condition3])</f>
        <v>0</v>
      </c>
      <c r="N23" s="21">
        <f t="shared" ref="N23" si="1">SUM(B23:M23)</f>
        <v>4</v>
      </c>
      <c r="O23" s="21">
        <f>(N23/N37)*100</f>
        <v>6.3492063492063489</v>
      </c>
      <c r="P23" s="21" t="s">
        <v>222</v>
      </c>
    </row>
    <row r="24" spans="1:16">
      <c r="A24" s="21" t="s">
        <v>223</v>
      </c>
      <c r="B24" s="21">
        <f>SUMIF(January[Disease/Infection Type], "Neurological Disease",January[[Number of Antibiotics Prescribed for this Condition ]])+SUMIF(January[Disease/Infection Type2], "Neurological Disease",January[Number of Antibiotics Prescribed for this Condition2])+SUMIF(January[Disease/Infection Type3], "Neurological Disease",January[Number of Antibiotics Prescribed for this Condition3])</f>
        <v>0</v>
      </c>
      <c r="C24" s="21">
        <f>SUMIF(February[Disease/Infection Type], "Neurological Disease",February[[Number of Antibiotics Prescribed for this Condition ]])+SUMIF(February[Disease/Infection Type2], "Neurological Disease",February[Number of Antibiotics Prescribed for this Condition2])+SUMIF(February[Disease/Infection Type3], "Neurological Disease",February[Number of Antibiotics Prescribed for this Condition3])</f>
        <v>0</v>
      </c>
      <c r="D24" s="21">
        <f>SUMIF(March[Disease/Infection Type], "Neurological Disease",March[[Number of Antibiotics Prescribed for this Condition ]])+SUMIF(March[Disease/Infection Type2], "Neurological Disease",March[Number of Antibiotics Prescribed for this Condition2])+SUMIF(March[Disease/Infection Type3], "Neurological Disease",March[Number of Antibiotics Prescribed for this Condition3])</f>
        <v>0</v>
      </c>
      <c r="E24" s="21">
        <f>SUMIF(April[Disease/Infection Type], "Neurological Disease",April[[Number of Antibiotics Prescribed for this Condition ]])+SUMIF(April[Disease/Infection Type2], "Neurological Disease",April[Number of Antibiotics Prescribed for this Condition2])+SUMIF(April[Disease/Infection Type3], "Neurological Disease",April[Number of Antibiotics Prescribed for this Condition3])</f>
        <v>0</v>
      </c>
      <c r="F24" s="21">
        <f>SUMIF(May[Disease/Infection Type], "Neurological Disease",May[[Number of Antibiotics Prescribed for this Condition ]])+SUMIF(May[Disease/Infection Type2], "Neurological Disease",May[Number of Antibiotics Prescribed for this Condition2])+SUMIF(May[Disease/Infection Type3], "Neurological Disease",May[Number of Antibiotics Prescribed for this Condition3])</f>
        <v>1</v>
      </c>
      <c r="G24" s="21">
        <f>SUMIF(June[Disease/Infection Type], "Neurological Disease",June[[Number of Antibiotics Prescribed for this Condition ]])+SUMIF(June[Disease/Infection Type2], "Neurological Disease",June[Number of Antibiotics Prescribed for this Condition2])+SUMIF(June[Disease/Infection Type3], "Neurological Disease",June[Number of Antibiotics Prescribed for this Condition3])</f>
        <v>0</v>
      </c>
      <c r="H24" s="21">
        <f>SUMIF(July[Disease/Infection Type], "Neurological Disease",July[[Number of Antibiotics Prescribed for this Condition ]])+SUMIF(July[Disease/Infection Type2], "Neurological Disease",July[Number of Antibiotics Prescribed for this Condition2])+SUMIF(July[Disease/Infection Type3], "Neurological Disease",July[Number of Antibiotics Prescribed for this Condition3])</f>
        <v>0</v>
      </c>
      <c r="I24" s="21">
        <f>SUMIF(August[Disease/Infection Type], "Neurological Disease",August[[Number of Antibiotics Prescribed for this Condition ]])+SUMIF(August[Disease/Infection Type2], "Neurological Disease",August[Number of Antibiotics Prescribed for this Condition2])+SUMIF(August[Disease/Infection Type3], "Neurological Disease",August[Number of Antibiotics Prescribed for this Condition3])</f>
        <v>0</v>
      </c>
      <c r="J24" s="21">
        <f>SUMIF(September[Disease/Infection Type], "Neurological Disease",September[[Number of Antibiotics Prescribed for this Condition ]])+SUMIF(September[Disease/Infection Type2], "Neurological Disease",September[Number of Antibiotics Prescribed for this Condition2])+SUMIF(September[Disease/Infection Type3], "Neurological Disease",September[Number of Antibiotics Prescribed for this Condition3])</f>
        <v>0</v>
      </c>
      <c r="K24" s="21">
        <f>SUMIF(October[Disease/Infection Type], "Neurological Disease",October[[Number of Antibiotics Prescribed for this Condition ]])+SUMIF(October[Disease/Infection Type2], "Neurological Disease",October[Number of Antibiotics Prescribed for this Condition2])+SUMIF(October[Disease/Infection Type3], "Neurological Disease",October[Number of Antibiotics Prescribed for this Condition3])</f>
        <v>1</v>
      </c>
      <c r="L24" s="21">
        <f>SUMIF(November[Disease/Infection Type], "Neurological Disease",November[[Number of Antibiotics Prescribed for this Condition ]])+SUMIF(November[Disease/Infection Type2], "Neurological Disease",November[Number of Antibiotics Prescribed for this Condition2])+SUMIF(November[Disease/Infection Type3], "Neurological Disease",November[Number of Antibiotics Prescribed for this Condition3])</f>
        <v>0</v>
      </c>
      <c r="M24" s="21">
        <f>SUMIF(December[Disease/Infection Type], "Neurological Disease",December[[Number of Antibiotics Prescribed for this Condition ]])+SUMIF(December[Disease/Infection Type2], "Neurological Disease",December[Number of Antibiotics Prescribed for this Condition2])+SUMIF(December[Disease/Infection Type3], "Neurological Disease",December[Number of Antibiotics Prescribed for this Condition3])</f>
        <v>0</v>
      </c>
      <c r="N24" s="21">
        <f t="shared" si="0"/>
        <v>2</v>
      </c>
      <c r="O24" s="21">
        <f>(N24/N37)*100</f>
        <v>3.1746031746031744</v>
      </c>
      <c r="P24" s="21" t="s">
        <v>300</v>
      </c>
    </row>
    <row r="25" spans="1:16">
      <c r="A25" s="21" t="s">
        <v>224</v>
      </c>
      <c r="B25" s="21">
        <f>SUMIF(January[Disease/Infection Type], "Ocular Disease",January[[Number of Antibiotics Prescribed for this Condition ]])+SUMIF(January[Disease/Infection Type2], "Ocular Disease",January[Number of Antibiotics Prescribed for this Condition2])+SUMIF(January[Disease/Infection Type3], "Ocular Disease",January[Number of Antibiotics Prescribed for this Condition3])</f>
        <v>0</v>
      </c>
      <c r="C25" s="21">
        <f>SUMIF(February[Disease/Infection Type], "Ocular Disease",February[[Number of Antibiotics Prescribed for this Condition ]])+SUMIF(February[Disease/Infection Type2], "Ocular Disease",February[Number of Antibiotics Prescribed for this Condition2])+SUMIF(February[Disease/Infection Type3], "Ocular Disease",February[Number of Antibiotics Prescribed for this Condition3])</f>
        <v>0</v>
      </c>
      <c r="D25" s="21">
        <f>SUMIF(March[Disease/Infection Type], "Ocular Disease",March[[Number of Antibiotics Prescribed for this Condition ]])+SUMIF(March[Disease/Infection Type2], "Ocular Disease",March[Number of Antibiotics Prescribed for this Condition2])+SUMIF(March[Disease/Infection Type3], "Ocular Disease",March[Number of Antibiotics Prescribed for this Condition3])</f>
        <v>1</v>
      </c>
      <c r="E25" s="21">
        <f>SUMIF(April[Disease/Infection Type], "Ocular Disease",April[[Number of Antibiotics Prescribed for this Condition ]])+SUMIF(April[Disease/Infection Type2], "Ocular Disease",April[Number of Antibiotics Prescribed for this Condition2])+SUMIF(April[Disease/Infection Type3], "Ocular Disease",April[Number of Antibiotics Prescribed for this Condition3])</f>
        <v>0</v>
      </c>
      <c r="F25" s="21">
        <f>SUMIF(May[Disease/Infection Type], "Ocular Disease",May[[Number of Antibiotics Prescribed for this Condition ]])+SUMIF(May[Disease/Infection Type2], "Ocular Disease",May[Number of Antibiotics Prescribed for this Condition2])+SUMIF(May[Disease/Infection Type3], "Ocular Disease",May[Number of Antibiotics Prescribed for this Condition3])</f>
        <v>1</v>
      </c>
      <c r="G25" s="21">
        <f>SUMIF(June[Disease/Infection Type], "Ocular Disease",June[[Number of Antibiotics Prescribed for this Condition ]])+SUMIF(June[Disease/Infection Type2], "Ocular Disease",June[Number of Antibiotics Prescribed for this Condition2])+SUMIF(June[Disease/Infection Type3], "Ocular Disease",June[Number of Antibiotics Prescribed for this Condition3])</f>
        <v>0</v>
      </c>
      <c r="H25" s="21">
        <f>SUMIF(July[Disease/Infection Type], "Ocular Disease",July[[Number of Antibiotics Prescribed for this Condition ]])+SUMIF(July[Disease/Infection Type2], "Ocular Disease",July[Number of Antibiotics Prescribed for this Condition2])+SUMIF(July[Disease/Infection Type3], "Ocular Disease",July[Number of Antibiotics Prescribed for this Condition3])</f>
        <v>0</v>
      </c>
      <c r="I25" s="21">
        <f>SUMIF(August[Disease/Infection Type], "Ocular Disease",August[[Number of Antibiotics Prescribed for this Condition ]])+SUMIF(August[Disease/Infection Type2], "Ocular Disease",August[Number of Antibiotics Prescribed for this Condition2])+SUMIF(August[Disease/Infection Type3], "Ocular Disease",August[Number of Antibiotics Prescribed for this Condition3])</f>
        <v>1</v>
      </c>
      <c r="J25" s="21">
        <f>SUMIF(September[Disease/Infection Type], "Ocular Disease",September[[Number of Antibiotics Prescribed for this Condition ]])+SUMIF(September[Disease/Infection Type2], "Ocular Disease",September[Number of Antibiotics Prescribed for this Condition2])+SUMIF(September[Disease/Infection Type3], "Ocular Disease",September[Number of Antibiotics Prescribed for this Condition3])</f>
        <v>0</v>
      </c>
      <c r="K25" s="21">
        <f>SUMIF(October[Disease/Infection Type], "Ocular Disease",October[[Number of Antibiotics Prescribed for this Condition ]])+SUMIF(October[Disease/Infection Type2], "Ocular Disease",October[Number of Antibiotics Prescribed for this Condition2])+SUMIF(October[Disease/Infection Type3], "Ocular Disease",October[Number of Antibiotics Prescribed for this Condition3])</f>
        <v>0</v>
      </c>
      <c r="L25" s="21">
        <f>SUMIF(November[Disease/Infection Type], "Ocular Disease",November[[Number of Antibiotics Prescribed for this Condition ]])+SUMIF(November[Disease/Infection Type2], "Ocular Disease",November[Number of Antibiotics Prescribed for this Condition2])+SUMIF(November[Disease/Infection Type3], "Ocular Disease",November[Number of Antibiotics Prescribed for this Condition3])</f>
        <v>1</v>
      </c>
      <c r="M25" s="21">
        <f>SUMIF(December[Disease/Infection Type], "Ocular Disease",December[[Number of Antibiotics Prescribed for this Condition ]])+SUMIF(December[Disease/Infection Type2], "Ocular Disease",December[Number of Antibiotics Prescribed for this Condition2])+SUMIF(December[Disease/Infection Type3], "Ocular Disease",December[Number of Antibiotics Prescribed for this Condition3])</f>
        <v>0</v>
      </c>
      <c r="N25" s="21">
        <f t="shared" si="0"/>
        <v>4</v>
      </c>
      <c r="O25" s="21">
        <f>(N25/N37)*100</f>
        <v>6.3492063492063489</v>
      </c>
      <c r="P25" s="21" t="s">
        <v>301</v>
      </c>
    </row>
    <row r="26" spans="1:16">
      <c r="A26" s="21" t="s">
        <v>291</v>
      </c>
      <c r="B26" s="21">
        <f>SUMIF(January[Disease/Infection Type], "Otic Disease",January[[Number of Antibiotics Prescribed for this Condition ]])+SUMIF(January[Disease/Infection Type2], "Otic Disease",January[Number of Antibiotics Prescribed for this Condition2])+SUMIF(January[Disease/Infection Type3], "Otic Disease",January[Number of Antibiotics Prescribed for this Condition3])</f>
        <v>1</v>
      </c>
      <c r="C26" s="21">
        <f>SUMIF(February[Disease/Infection Type], "Otic Disease",February[[Number of Antibiotics Prescribed for this Condition ]])+SUMIF(February[Disease/Infection Type2], "Otic Disease",February[Number of Antibiotics Prescribed for this Condition2])+SUMIF(February[Disease/Infection Type3], "Otic Disease",February[Number of Antibiotics Prescribed for this Condition3])</f>
        <v>1</v>
      </c>
      <c r="D26" s="21">
        <f>SUMIF(March[Disease/Infection Type], "Otic Disease",March[[Number of Antibiotics Prescribed for this Condition ]])+SUMIF(March[Disease/Infection Type2], "Otic Disease",March[Number of Antibiotics Prescribed for this Condition2])+SUMIF(March[Disease/Infection Type3], "Otic Disease",March[Number of Antibiotics Prescribed for this Condition3])</f>
        <v>0</v>
      </c>
      <c r="E26" s="21">
        <f>SUMIF(April[Disease/Infection Type], "Otic Disease",April[[Number of Antibiotics Prescribed for this Condition ]])+SUMIF(April[Disease/Infection Type2], "Otic Disease",April[Number of Antibiotics Prescribed for this Condition2])+SUMIF(April[Disease/Infection Type3], "Otic Disease",April[Number of Antibiotics Prescribed for this Condition3])</f>
        <v>2</v>
      </c>
      <c r="F26" s="21">
        <f>SUMIF(May[Disease/Infection Type], "Otic Disease",May[[Number of Antibiotics Prescribed for this Condition ]])+SUMIF(May[Disease/Infection Type2], "Otic Disease",May[Number of Antibiotics Prescribed for this Condition2])+SUMIF(May[Disease/Infection Type3], "Otic Disease",May[Number of Antibiotics Prescribed for this Condition3])</f>
        <v>1</v>
      </c>
      <c r="G26" s="21">
        <f>SUMIF(June[Disease/Infection Type], "Otic Disease",June[[Number of Antibiotics Prescribed for this Condition ]])+SUMIF(June[Disease/Infection Type2], "Otic Disease",June[Number of Antibiotics Prescribed for this Condition2])+SUMIF(June[Disease/Infection Type3], "Otic Disease",June[Number of Antibiotics Prescribed for this Condition3])</f>
        <v>0</v>
      </c>
      <c r="H26" s="21">
        <f>SUMIF(July[Disease/Infection Type], "Otic Disease",July[[Number of Antibiotics Prescribed for this Condition ]])+SUMIF(July[Disease/Infection Type2], "Otic Disease",July[Number of Antibiotics Prescribed for this Condition2])+SUMIF(July[Disease/Infection Type3], "Otic Disease",July[Number of Antibiotics Prescribed for this Condition3])</f>
        <v>1</v>
      </c>
      <c r="I26" s="21">
        <f>SUMIF(August[Disease/Infection Type], "Otic Disease",August[[Number of Antibiotics Prescribed for this Condition ]])+SUMIF(August[Disease/Infection Type2], "Otic Disease",August[Number of Antibiotics Prescribed for this Condition2])+SUMIF(August[Disease/Infection Type3], "Otic Disease",August[Number of Antibiotics Prescribed for this Condition3])</f>
        <v>0</v>
      </c>
      <c r="J26" s="21">
        <f>SUMIF(September[Disease/Infection Type], "Otic Disease",September[[Number of Antibiotics Prescribed for this Condition ]])+SUMIF(September[Disease/Infection Type2], "Otic Disease",September[Number of Antibiotics Prescribed for this Condition2])+SUMIF(September[Disease/Infection Type3], "Otic Disease",September[Number of Antibiotics Prescribed for this Condition3])</f>
        <v>1</v>
      </c>
      <c r="K26" s="21">
        <f>SUMIF(October[Disease/Infection Type], "Otic Disease",October[[Number of Antibiotics Prescribed for this Condition ]])+SUMIF(October[Disease/Infection Type2], "Otic Disease",October[Number of Antibiotics Prescribed for this Condition2])+SUMIF(October[Disease/Infection Type3], "Otic Disease",October[Number of Antibiotics Prescribed for this Condition3])</f>
        <v>0</v>
      </c>
      <c r="L26" s="21">
        <f>SUMIF(November[Disease/Infection Type], "Otic Disease",November[[Number of Antibiotics Prescribed for this Condition ]])+SUMIF(November[Disease/Infection Type2], "Otic Disease",November[Number of Antibiotics Prescribed for this Condition2])+SUMIF(November[Disease/Infection Type3], "Otic Disease",November[Number of Antibiotics Prescribed for this Condition3])</f>
        <v>1</v>
      </c>
      <c r="M26" s="21">
        <f>SUMIF(December[Disease/Infection Type], "Otic Disease",December[[Number of Antibiotics Prescribed for this Condition ]])+SUMIF(December[Disease/Infection Type2], "Otic Disease",December[Number of Antibiotics Prescribed for this Condition2])+SUMIF(December[Disease/Infection Type3], "Otic Disease",December[Number of Antibiotics Prescribed for this Condition3])</f>
        <v>1</v>
      </c>
      <c r="N26" s="21">
        <f>SUM(B26:M26)</f>
        <v>9</v>
      </c>
      <c r="O26" s="21">
        <f>(N26/N37)*100</f>
        <v>14.285714285714285</v>
      </c>
      <c r="P26" s="21" t="s">
        <v>238</v>
      </c>
    </row>
    <row r="27" spans="1:16">
      <c r="A27" s="21" t="s">
        <v>99</v>
      </c>
      <c r="B27" s="21">
        <f>SUMIF(January[Disease/Infection Type], "Peri-operative",January[[Number of Antibiotics Prescribed for this Condition ]])+SUMIF(January[Disease/Infection Type2], "Peri-operative",January[Number of Antibiotics Prescribed for this Condition2])+SUMIF(January[Disease/Infection Type3], "Peri-operative",January[Number of Antibiotics Prescribed for this Condition3])</f>
        <v>0</v>
      </c>
      <c r="C27" s="21">
        <f>SUMIF(February[Disease/Infection Type], "Peri-operative",February[[Number of Antibiotics Prescribed for this Condition ]])+SUMIF(February[Disease/Infection Type2], "Peri-operative",February[Number of Antibiotics Prescribed for this Condition2])+SUMIF(February[Disease/Infection Type3], "Peri-operative",February[Number of Antibiotics Prescribed for this Condition3])</f>
        <v>1</v>
      </c>
      <c r="D27" s="21">
        <f>SUMIF(March[Disease/Infection Type], "Peri-operative",March[[Number of Antibiotics Prescribed for this Condition ]])+SUMIF(March[Disease/Infection Type2], "Peri-operative",March[Number of Antibiotics Prescribed for this Condition2])+SUMIF(March[Disease/Infection Type3], "Peri-operative",March[Number of Antibiotics Prescribed for this Condition3])</f>
        <v>1</v>
      </c>
      <c r="E27" s="21">
        <f>SUMIF(April[Disease/Infection Type], "Peri-operative",April[[Number of Antibiotics Prescribed for this Condition ]])+SUMIF(April[Disease/Infection Type2], "Peri-operative",April[Number of Antibiotics Prescribed for this Condition2])+SUMIF(April[Disease/Infection Type3], "Peri-operative",April[Number of Antibiotics Prescribed for this Condition3])</f>
        <v>0</v>
      </c>
      <c r="F27" s="21">
        <f>SUMIF(May[Disease/Infection Type], "Peri-operative",May[[Number of Antibiotics Prescribed for this Condition ]])+SUMIF(May[Disease/Infection Type2], "Peri-operative",May[Number of Antibiotics Prescribed for this Condition2])+SUMIF(May[Disease/Infection Type3], "Peri-operative",May[Number of Antibiotics Prescribed for this Condition3])</f>
        <v>0</v>
      </c>
      <c r="G27" s="21">
        <f>SUMIF(June[Disease/Infection Type], "Peri-operative",June[[Number of Antibiotics Prescribed for this Condition ]])+SUMIF(June[Disease/Infection Type2], "Peri-operative",June[Number of Antibiotics Prescribed for this Condition2])+SUMIF(June[Disease/Infection Type3], "Peri-operative",June[Number of Antibiotics Prescribed for this Condition3])</f>
        <v>0</v>
      </c>
      <c r="H27" s="21">
        <f>SUMIF(July[Disease/Infection Type], "Peri-operative",July[[Number of Antibiotics Prescribed for this Condition ]])+SUMIF(July[Disease/Infection Type2], "Peri-operative",July[Number of Antibiotics Prescribed for this Condition2])+SUMIF(July[Disease/Infection Type3], "Peri-operative",July[Number of Antibiotics Prescribed for this Condition3])</f>
        <v>1</v>
      </c>
      <c r="I27" s="21">
        <f>SUMIF(August[Disease/Infection Type], "Peri-operative",August[[Number of Antibiotics Prescribed for this Condition ]])+SUMIF(August[Disease/Infection Type2], "Peri-operative",August[Number of Antibiotics Prescribed for this Condition2])+SUMIF(August[Disease/Infection Type3], "Peri-operative",August[Number of Antibiotics Prescribed for this Condition3])</f>
        <v>0</v>
      </c>
      <c r="J27" s="21">
        <f>SUMIF(September[Disease/Infection Type], "Peri-operative",September[[Number of Antibiotics Prescribed for this Condition ]])+SUMIF(September[Disease/Infection Type2], "Peri-operative",September[Number of Antibiotics Prescribed for this Condition2])+SUMIF(September[Disease/Infection Type3], "Peri-operative",September[Number of Antibiotics Prescribed for this Condition3])</f>
        <v>0</v>
      </c>
      <c r="K27" s="21">
        <f>SUMIF(October[Disease/Infection Type], "Peri-operative",October[[Number of Antibiotics Prescribed for this Condition ]])+SUMIF(October[Disease/Infection Type2], "Peri-operative",October[Number of Antibiotics Prescribed for this Condition2])+SUMIF(October[Disease/Infection Type3], "Peri-operative",October[Number of Antibiotics Prescribed for this Condition3])</f>
        <v>0</v>
      </c>
      <c r="L27" s="21">
        <f>SUMIF(November[Disease/Infection Type], "Peri-operative",November[[Number of Antibiotics Prescribed for this Condition ]])+SUMIF(November[Disease/Infection Type2], "Peri-operative",November[Number of Antibiotics Prescribed for this Condition2])+SUMIF(November[Disease/Infection Type3], "Peri-operative",November[Number of Antibiotics Prescribed for this Condition3])</f>
        <v>1</v>
      </c>
      <c r="M27" s="21">
        <f>SUMIF(December[Disease/Infection Type], "Peri-operative",December[[Number of Antibiotics Prescribed for this Condition ]])+SUMIF(December[Disease/Infection Type2], "Peri-operative",December[Number of Antibiotics Prescribed for this Condition2])+SUMIF(December[Disease/Infection Type3], "Peri-operative",December[Number of Antibiotics Prescribed for this Condition3])</f>
        <v>0</v>
      </c>
      <c r="N27" s="21">
        <f t="shared" si="0"/>
        <v>4</v>
      </c>
      <c r="O27" s="21">
        <f>(N27/N37)*100</f>
        <v>6.3492063492063489</v>
      </c>
      <c r="P27" s="21" t="s">
        <v>99</v>
      </c>
    </row>
    <row r="28" spans="1:16">
      <c r="A28" s="21" t="s">
        <v>97</v>
      </c>
      <c r="B28" s="21">
        <f>SUMIF(January[Disease/Infection Type], "Reproductive Disease",January[[Number of Antibiotics Prescribed for this Condition ]])+SUMIF(January[Disease/Infection Type2], "Reproductive Disease",January[Number of Antibiotics Prescribed for this Condition2])+SUMIF(January[Disease/Infection Type3], "Reproductive Disease",January[Number of Antibiotics Prescribed for this Condition3])</f>
        <v>0</v>
      </c>
      <c r="C28" s="21">
        <f>SUMIF(February[Disease/Infection Type], "Reproductive Disease",February[[Number of Antibiotics Prescribed for this Condition ]])+SUMIF(February[Disease/Infection Type2], "Reproductive Disease",February[Number of Antibiotics Prescribed for this Condition2])+SUMIF(February[Disease/Infection Type3], "Reproductive Disease",February[Number of Antibiotics Prescribed for this Condition3])</f>
        <v>0</v>
      </c>
      <c r="D28" s="21">
        <f>SUMIF(March[Disease/Infection Type], "Reproductive Disease",March[[Number of Antibiotics Prescribed for this Condition ]])+SUMIF(March[Disease/Infection Type2], "Reproductive Disease",March[Number of Antibiotics Prescribed for this Condition2])+SUMIF(March[Disease/Infection Type3], "Reproductive Disease",March[Number of Antibiotics Prescribed for this Condition3])</f>
        <v>0</v>
      </c>
      <c r="E28" s="21">
        <f>SUMIF(April[Disease/Infection Type], "Reproductive Disease",April[[Number of Antibiotics Prescribed for this Condition ]])+SUMIF(April[Disease/Infection Type2], "Reproductive Disease",April[Number of Antibiotics Prescribed for this Condition2])+SUMIF(April[Disease/Infection Type3], "Reproductive Disease",April[Number of Antibiotics Prescribed for this Condition3])</f>
        <v>0</v>
      </c>
      <c r="F28" s="21">
        <f>SUMIF(May[Disease/Infection Type], "Reproductive Disease",May[[Number of Antibiotics Prescribed for this Condition ]])+SUMIF(May[Disease/Infection Type2], "Reproductive Disease",May[Number of Antibiotics Prescribed for this Condition2])+SUMIF(May[Disease/Infection Type3], "Reproductive Disease",May[Number of Antibiotics Prescribed for this Condition3])</f>
        <v>0</v>
      </c>
      <c r="G28" s="21">
        <f>SUMIF(June[Disease/Infection Type], "Reproductive Disease",June[[Number of Antibiotics Prescribed for this Condition ]])+SUMIF(June[Disease/Infection Type2], "Reproductive Disease",June[Number of Antibiotics Prescribed for this Condition2])+SUMIF(June[Disease/Infection Type3], "Reproductive Disease",June[Number of Antibiotics Prescribed for this Condition3])</f>
        <v>1</v>
      </c>
      <c r="H28" s="21">
        <f>SUMIF(July[Disease/Infection Type], "Reproductive Disease",July[[Number of Antibiotics Prescribed for this Condition ]])+SUMIF(July[Disease/Infection Type2], "Reproductive Disease",July[Number of Antibiotics Prescribed for this Condition2])+SUMIF(July[Disease/Infection Type3], "Reproductive Disease",July[Number of Antibiotics Prescribed for this Condition3])</f>
        <v>0</v>
      </c>
      <c r="I28" s="21">
        <f>SUMIF(August[Disease/Infection Type], "Reproductive Disease",August[[Number of Antibiotics Prescribed for this Condition ]])+SUMIF(August[Disease/Infection Type2], "Reproductive Disease",August[Number of Antibiotics Prescribed for this Condition2])+SUMIF(August[Disease/Infection Type3], "Reproductive Disease",August[Number of Antibiotics Prescribed for this Condition3])</f>
        <v>0</v>
      </c>
      <c r="J28" s="21">
        <f>SUMIF(September[Disease/Infection Type], "Reproductive Disease",September[[Number of Antibiotics Prescribed for this Condition ]])+SUMIF(September[Disease/Infection Type2], "Reproductive Disease",September[Number of Antibiotics Prescribed for this Condition2])+SUMIF(September[Disease/Infection Type3], "Reproductive Disease",September[Number of Antibiotics Prescribed for this Condition3])</f>
        <v>0</v>
      </c>
      <c r="K28" s="21">
        <f>SUMIF(October[Disease/Infection Type], "Reproductive Disease",October[[Number of Antibiotics Prescribed for this Condition ]])+SUMIF(October[Disease/Infection Type2], "Reproductive Disease",October[Number of Antibiotics Prescribed for this Condition2])+SUMIF(October[Disease/Infection Type3], "Reproductive Disease",October[Number of Antibiotics Prescribed for this Condition3])</f>
        <v>0</v>
      </c>
      <c r="L28" s="21">
        <f>SUMIF(November[Disease/Infection Type], "Reproductive Disease",November[[Number of Antibiotics Prescribed for this Condition ]])+SUMIF(November[Disease/Infection Type2], "Reproductive Disease",November[Number of Antibiotics Prescribed for this Condition2])+SUMIF(November[Disease/Infection Type3], "Reproductive Disease",November[Number of Antibiotics Prescribed for this Condition3])</f>
        <v>0</v>
      </c>
      <c r="M28" s="21">
        <f>SUMIF(December[Disease/Infection Type], "Reproductive Disease",December[[Number of Antibiotics Prescribed for this Condition ]])+SUMIF(December[Disease/Infection Type2], "Reproductive Disease",December[Number of Antibiotics Prescribed for this Condition2])+SUMIF(December[Disease/Infection Type3], "Reproductive Disease",December[Number of Antibiotics Prescribed for this Condition3])</f>
        <v>0</v>
      </c>
      <c r="N28" s="21">
        <f t="shared" si="0"/>
        <v>1</v>
      </c>
      <c r="O28" s="21">
        <f>(N28/N37)*100</f>
        <v>1.5873015873015872</v>
      </c>
      <c r="P28" s="21" t="s">
        <v>302</v>
      </c>
    </row>
    <row r="29" spans="1:16">
      <c r="A29" s="21" t="s">
        <v>277</v>
      </c>
      <c r="B29" s="21">
        <f>SUMIF(January[Disease/Infection Type], "Upper Respiratory Tract Disease",January[[Number of Antibiotics Prescribed for this Condition ]])+SUMIF(January[Disease/Infection Type2], "Upper Respiratory Tract Disease",January[Number of Antibiotics Prescribed for this Condition2])+SUMIF(January[Disease/Infection Type3], "Upper Respiratory Tract Disease",January[Number of Antibiotics Prescribed for this Condition3])</f>
        <v>0</v>
      </c>
      <c r="C29" s="21">
        <f>SUMIF(February[Disease/Infection Type], "Upper Respiratory Tract Disease",February[[Number of Antibiotics Prescribed for this Condition ]])+SUMIF(February[Disease/Infection Type2], "Upper Respiratory Tract Disease",February[Number of Antibiotics Prescribed for this Condition2])+SUMIF(February[Disease/Infection Type3], "Upper Respiratory Tract Disease",February[Number of Antibiotics Prescribed for this Condition3])</f>
        <v>0</v>
      </c>
      <c r="D29" s="21">
        <f>SUMIF(March[Disease/Infection Type], "Upper Respiratory Tract Disease",March[[Number of Antibiotics Prescribed for this Condition ]])+SUMIF(March[Disease/Infection Type2], "Upper Respiratory Tract Disease",March[Number of Antibiotics Prescribed for this Condition2])+SUMIF(March[Disease/Infection Type3], "Upper Respiratory Tract Disease",March[Number of Antibiotics Prescribed for this Condition3])</f>
        <v>1</v>
      </c>
      <c r="E29" s="21">
        <f>SUMIF(April[Disease/Infection Type], "Upper Respiratory Tract Disease",April[[Number of Antibiotics Prescribed for this Condition ]])+SUMIF(April[Disease/Infection Type2], "Upper Respiratory Tract Disease",April[Number of Antibiotics Prescribed for this Condition2])+SUMIF(April[Disease/Infection Type3], "Upper Respiratory Tract Disease",April[Number of Antibiotics Prescribed for this Condition3])</f>
        <v>0</v>
      </c>
      <c r="F29" s="21">
        <f>SUMIF(May[Disease/Infection Type], "Upper Respiratory Tract Disease",May[[Number of Antibiotics Prescribed for this Condition ]])+SUMIF(May[Disease/Infection Type2], "Upper Respiratory Tract Disease",May[Number of Antibiotics Prescribed for this Condition2])+SUMIF(May[Disease/Infection Type3], "Upper Respiratory Tract Disease",May[Number of Antibiotics Prescribed for this Condition3])</f>
        <v>0</v>
      </c>
      <c r="G29" s="21">
        <f>SUMIF(June[Disease/Infection Type], "Upper Respiratory Tract Disease",June[[Number of Antibiotics Prescribed for this Condition ]])+SUMIF(June[Disease/Infection Type2], "Upper Respiratory Tract Disease",June[Number of Antibiotics Prescribed for this Condition2])+SUMIF(June[Disease/Infection Type3], "Upper Respiratory Tract Disease",June[Number of Antibiotics Prescribed for this Condition3])</f>
        <v>0</v>
      </c>
      <c r="H29" s="21">
        <f>SUMIF(July[Disease/Infection Type], "Upper Respiratory Tract Disease",July[[Number of Antibiotics Prescribed for this Condition ]])+SUMIF(July[Disease/Infection Type2], "Upper Respiratory Tract Disease",July[Number of Antibiotics Prescribed for this Condition2])+SUMIF(July[Disease/Infection Type3], "Upper Respiratory Tract Disease",July[Number of Antibiotics Prescribed for this Condition3])</f>
        <v>0</v>
      </c>
      <c r="I29" s="21">
        <f>SUMIF(August[Disease/Infection Type], "Upper Respiratory Tract Disease",August[[Number of Antibiotics Prescribed for this Condition ]])+SUMIF(August[Disease/Infection Type2], "Upper Respiratory Tract Disease",August[Number of Antibiotics Prescribed for this Condition2])+SUMIF(August[Disease/Infection Type3], "Upper Respiratory Tract Disease",August[Number of Antibiotics Prescribed for this Condition3])</f>
        <v>0</v>
      </c>
      <c r="J29" s="21">
        <f>SUMIF(September[Disease/Infection Type], "Upper Respiratory Tract Disease",September[[Number of Antibiotics Prescribed for this Condition ]])+SUMIF(September[Disease/Infection Type2], "Upper Respiratory Tract Disease",September[Number of Antibiotics Prescribed for this Condition2])+SUMIF(September[Disease/Infection Type3], "Upper Respiratory Tract Disease",September[Number of Antibiotics Prescribed for this Condition3])</f>
        <v>0</v>
      </c>
      <c r="K29" s="21">
        <f>SUMIF(October[Disease/Infection Type], "Upper Respiratory Tract Disease",October[[Number of Antibiotics Prescribed for this Condition ]])+SUMIF(October[Disease/Infection Type2], "Upper Respiratory Tract Disease",October[Number of Antibiotics Prescribed for this Condition2])+SUMIF(October[Disease/Infection Type3], "Upper Respiratory Tract Disease",October[Number of Antibiotics Prescribed for this Condition3])</f>
        <v>0</v>
      </c>
      <c r="L29" s="21">
        <f>SUMIF(November[Disease/Infection Type], "Upper Respiratory Tract Disease",November[[Number of Antibiotics Prescribed for this Condition ]])+SUMIF(November[Disease/Infection Type2], "Upper Respiratory Tract Disease",November[Number of Antibiotics Prescribed for this Condition2])+SUMIF(November[Disease/Infection Type3], "Upper Respiratory Tract Disease",November[Number of Antibiotics Prescribed for this Condition3])</f>
        <v>0</v>
      </c>
      <c r="M29" s="21">
        <f>SUMIF(December[Disease/Infection Type], "Upper Respiratory Tract Disease",December[[Number of Antibiotics Prescribed for this Condition ]])+SUMIF(December[Disease/Infection Type2], "Upper Respiratory Tract Disease",December[Number of Antibiotics Prescribed for this Condition2])+SUMIF(December[Disease/Infection Type3], "Upper Respiratory Tract Disease",December[Number of Antibiotics Prescribed for this Condition3])</f>
        <v>0</v>
      </c>
      <c r="N29" s="21">
        <f>SUM(B29:M29)</f>
        <v>1</v>
      </c>
      <c r="O29" s="21">
        <f>(N29/N37)*100</f>
        <v>1.5873015873015872</v>
      </c>
      <c r="P29" s="21" t="s">
        <v>303</v>
      </c>
    </row>
    <row r="30" spans="1:16">
      <c r="A30" s="21" t="s">
        <v>278</v>
      </c>
      <c r="B30" s="21">
        <f>SUMIF(January[Disease/Infection Type], "Lower Respiratory Tract Disease",January[[Number of Antibiotics Prescribed for this Condition ]])+SUMIF(January[Disease/Infection Type2], "Lower Respiratory Tract Disease",January[Number of Antibiotics Prescribed for this Condition2])+SUMIF(January[Disease/Infection Type3], "Lower Respiratory Tract Disease",January[Number of Antibiotics Prescribed for this Condition3])</f>
        <v>0</v>
      </c>
      <c r="C30" s="21">
        <f>SUMIF(February[Disease/Infection Type], "Lower Respiratory Tract Disease",February[[Number of Antibiotics Prescribed for this Condition ]])+SUMIF(February[Disease/Infection Type2], "Lower Respiratory Tract Disease",February[Number of Antibiotics Prescribed for this Condition2])+SUMIF(February[Disease/Infection Type3], "Lower Respiratory Tract Disease",February[Number of Antibiotics Prescribed for this Condition3])</f>
        <v>1</v>
      </c>
      <c r="D30" s="21">
        <f>SUMIF(March[Disease/Infection Type], "Lower Respiratory Tract Disease",March[[Number of Antibiotics Prescribed for this Condition ]])+SUMIF(March[Disease/Infection Type2], "Lower Respiratory Tract Disease",March[Number of Antibiotics Prescribed for this Condition2])+SUMIF(March[Disease/Infection Type3], "Lower Respiratory Tract Disease",March[Number of Antibiotics Prescribed for this Condition3])</f>
        <v>0</v>
      </c>
      <c r="E30" s="21">
        <f>SUMIF(April[Disease/Infection Type], "Lower Respiratory Tract Disease",April[[Number of Antibiotics Prescribed for this Condition ]])+SUMIF(April[Disease/Infection Type2], "Lower Respiratory Tract Disease",April[Number of Antibiotics Prescribed for this Condition2])+SUMIF(April[Disease/Infection Type3], "Lower Respiratory Tract Disease",April[Number of Antibiotics Prescribed for this Condition3])</f>
        <v>2</v>
      </c>
      <c r="F30" s="21">
        <f>SUMIF(May[Disease/Infection Type], "Lower Respiratory Tract Disease",May[[Number of Antibiotics Prescribed for this Condition ]])+SUMIF(May[Disease/Infection Type2], "Lower Respiratory Tract Disease",May[Number of Antibiotics Prescribed for this Condition2])+SUMIF(May[Disease/Infection Type3], "Lower Respiratory Tract Disease",May[Number of Antibiotics Prescribed for this Condition3])</f>
        <v>0</v>
      </c>
      <c r="G30" s="21">
        <f>SUMIF(June[Disease/Infection Type], "Lower Respiratory Tract Disease",June[[Number of Antibiotics Prescribed for this Condition ]])+SUMIF(June[Disease/Infection Type2], "Lower Respiratory Tract Disease",June[Number of Antibiotics Prescribed for this Condition2])+SUMIF(June[Disease/Infection Type3], "Lower Respiratory Tract Disease",June[Number of Antibiotics Prescribed for this Condition3])</f>
        <v>1</v>
      </c>
      <c r="H30" s="21">
        <f>SUMIF(July[Disease/Infection Type], "Lower Respiratory Tract Disease",July[[Number of Antibiotics Prescribed for this Condition ]])+SUMIF(July[Disease/Infection Type2], "Lower Respiratory Tract Disease",July[Number of Antibiotics Prescribed for this Condition2])+SUMIF(July[Disease/Infection Type3], "Lower Respiratory Tract Disease",July[Number of Antibiotics Prescribed for this Condition3])</f>
        <v>0</v>
      </c>
      <c r="I30" s="21">
        <f>SUMIF(August[Disease/Infection Type], "Lower Respiratory Tract Disease",August[[Number of Antibiotics Prescribed for this Condition ]])+SUMIF(August[Disease/Infection Type2], "Lower Respiratory Tract Disease",August[Number of Antibiotics Prescribed for this Condition2])+SUMIF(August[Disease/Infection Type3], "Lower Respiratory Tract Disease",August[Number of Antibiotics Prescribed for this Condition3])</f>
        <v>0</v>
      </c>
      <c r="J30" s="21">
        <f>SUMIF(September[Disease/Infection Type], "Lower Respiratory Tract Disease",September[[Number of Antibiotics Prescribed for this Condition ]])+SUMIF(September[Disease/Infection Type2], "Lower Respiratory Tract Disease",September[Number of Antibiotics Prescribed for this Condition2])+SUMIF(September[Disease/Infection Type3], "Lower Respiratory Tract Disease",September[Number of Antibiotics Prescribed for this Condition3])</f>
        <v>0</v>
      </c>
      <c r="K30" s="21">
        <f>SUMIF(October[Disease/Infection Type], "Lower Respiratory Tract Disease",October[[Number of Antibiotics Prescribed for this Condition ]])+SUMIF(October[Disease/Infection Type2], "Lower Respiratory Tract Disease",October[Number of Antibiotics Prescribed for this Condition2])+SUMIF(October[Disease/Infection Type3], "Lower Respiratory Tract Disease",October[Number of Antibiotics Prescribed for this Condition3])</f>
        <v>1</v>
      </c>
      <c r="L30" s="21">
        <f>SUMIF(November[Disease/Infection Type], "Lower Respiratory Tract Disease",November[[Number of Antibiotics Prescribed for this Condition ]])+SUMIF(November[Disease/Infection Type2], "Lower Respiratory Tract Disease",November[Number of Antibiotics Prescribed for this Condition2])+SUMIF(November[Disease/Infection Type3], "Lower Respiratory Tract Disease",November[Number of Antibiotics Prescribed for this Condition3])</f>
        <v>1</v>
      </c>
      <c r="M30" s="21">
        <f>SUMIF(December[Disease/Infection Type], "Lower Respiratory Tract Disease",December[[Number of Antibiotics Prescribed for this Condition ]])+SUMIF(December[Disease/Infection Type2], "Lower Respiratory Tract Disease",December[Number of Antibiotics Prescribed for this Condition2])+SUMIF(December[Disease/Infection Type3], "Lower Respiratory Tract Disease",December[Number of Antibiotics Prescribed for this Condition3])</f>
        <v>0</v>
      </c>
      <c r="N30" s="21">
        <f t="shared" si="0"/>
        <v>6</v>
      </c>
      <c r="O30" s="21">
        <f>(N30/N37)*100</f>
        <v>9.5238095238095237</v>
      </c>
      <c r="P30" s="21" t="s">
        <v>304</v>
      </c>
    </row>
    <row r="31" spans="1:16">
      <c r="A31" s="21" t="s">
        <v>275</v>
      </c>
      <c r="B31" s="21">
        <f>SUMIF(January[Disease/Infection Type], "Upper Urinary Tract Disease",January[[Number of Antibiotics Prescribed for this Condition ]])+SUMIF(January[Disease/Infection Type2], "Upper Urinary Tract Disease",January[Number of Antibiotics Prescribed for this Condition2])+SUMIF(January[Disease/Infection Type3], "Upper Urinary Tract Disease",January[Number of Antibiotics Prescribed for this Condition3])</f>
        <v>1</v>
      </c>
      <c r="C31" s="21">
        <f>SUMIF(February[Disease/Infection Type], "Upper Urinary Tract Disease",February[[Number of Antibiotics Prescribed for this Condition ]])+SUMIF(February[Disease/Infection Type2], "Upper Urinary Tract Disease",February[Number of Antibiotics Prescribed for this Condition2])+SUMIF(February[Disease/Infection Type3], "Upper Urinary Tract Disease",February[Number of Antibiotics Prescribed for this Condition3])</f>
        <v>2</v>
      </c>
      <c r="D31" s="21">
        <f>SUMIF(March[Disease/Infection Type], "Upper Urinary Tract Disease",March[[Number of Antibiotics Prescribed for this Condition ]])+SUMIF(March[Disease/Infection Type2], "Upper Urinary Tract Disease",March[Number of Antibiotics Prescribed for this Condition2])+SUMIF(March[Disease/Infection Type3], "Upper Urinary Tract Disease",March[Number of Antibiotics Prescribed for this Condition3])</f>
        <v>0</v>
      </c>
      <c r="E31" s="21">
        <f>SUMIF(April[Disease/Infection Type], "Upper Urinary Tract Disease",April[[Number of Antibiotics Prescribed for this Condition ]])+SUMIF(April[Disease/Infection Type2], "Upper Urinary Tract Disease",April[Number of Antibiotics Prescribed for this Condition2])+SUMIF(April[Disease/Infection Type3], "Upper Urinary Tract Disease",April[Number of Antibiotics Prescribed for this Condition3])</f>
        <v>1</v>
      </c>
      <c r="F31" s="21">
        <f>SUMIF(May[Disease/Infection Type], "Upper Urinary Tract Disease",May[[Number of Antibiotics Prescribed for this Condition ]])+SUMIF(May[Disease/Infection Type2], "Upper Urinary Tract Disease",May[Number of Antibiotics Prescribed for this Condition2])+SUMIF(May[Disease/Infection Type3], "Upper Urinary Tract Disease",May[Number of Antibiotics Prescribed for this Condition3])</f>
        <v>0</v>
      </c>
      <c r="G31" s="21">
        <f>SUMIF(June[Disease/Infection Type], "Upper Urinary Tract Disease",June[[Number of Antibiotics Prescribed for this Condition ]])+SUMIF(June[Disease/Infection Type2], "Upper Urinary Tract Disease",June[Number of Antibiotics Prescribed for this Condition2])+SUMIF(June[Disease/Infection Type3], "Upper Urinary Tract Disease",June[Number of Antibiotics Prescribed for this Condition3])</f>
        <v>0</v>
      </c>
      <c r="H31" s="21">
        <f>SUMIF(July[Disease/Infection Type], "Upper Urinary Tract Disease",July[[Number of Antibiotics Prescribed for this Condition ]])+SUMIF(July[Disease/Infection Type2], "Upper Urinary Tract Disease",July[Number of Antibiotics Prescribed for this Condition2])+SUMIF(July[Disease/Infection Type3], "Upper Urinary Tract Disease",July[Number of Antibiotics Prescribed for this Condition3])</f>
        <v>0</v>
      </c>
      <c r="I31" s="21">
        <f>SUMIF(August[Disease/Infection Type], "Upper Urinary Tract Disease",August[[Number of Antibiotics Prescribed for this Condition ]])+SUMIF(August[Disease/Infection Type2], "Upper Urinary Tract Disease",August[Number of Antibiotics Prescribed for this Condition2])+SUMIF(August[Disease/Infection Type3], "Upper Urinary Tract Disease",August[Number of Antibiotics Prescribed for this Condition3])</f>
        <v>0</v>
      </c>
      <c r="J31" s="21">
        <f>SUMIF(September[Disease/Infection Type], "Upper Urinary Tract Disease",September[[Number of Antibiotics Prescribed for this Condition ]])+SUMIF(September[Disease/Infection Type2], "Upper Urinary Tract Disease",September[Number of Antibiotics Prescribed for this Condition2])+SUMIF(September[Disease/Infection Type3], "Upper Urinary Tract Disease",September[Number of Antibiotics Prescribed for this Condition3])</f>
        <v>0</v>
      </c>
      <c r="K31" s="21">
        <f>SUMIF(October[Disease/Infection Type], "Upper Urinary Tract Disease",October[[Number of Antibiotics Prescribed for this Condition ]])+SUMIF(October[Disease/Infection Type2], "Upper Urinary Tract Disease",October[Number of Antibiotics Prescribed for this Condition2])+SUMIF(October[Disease/Infection Type3], "Upper Urinary Tract Disease",October[Number of Antibiotics Prescribed for this Condition3])</f>
        <v>0</v>
      </c>
      <c r="L31" s="21">
        <f>SUMIF(November[Disease/Infection Type], "Upper Urinary Tract Disease",November[[Number of Antibiotics Prescribed for this Condition ]])+SUMIF(November[Disease/Infection Type2], "Upper Urinary Tract Disease",November[Number of Antibiotics Prescribed for this Condition2])+SUMIF(November[Disease/Infection Type3], "Upper Urinary Tract Disease",November[Number of Antibiotics Prescribed for this Condition3])</f>
        <v>0</v>
      </c>
      <c r="M31" s="21">
        <f>SUMIF(December[Disease/Infection Type], "Upper Urinary Tract Disease",December[[Number of Antibiotics Prescribed for this Condition ]])+SUMIF(December[Disease/Infection Type2], "Upper Urinary Tract Disease",December[Number of Antibiotics Prescribed for this Condition2])+SUMIF(December[Disease/Infection Type3], "Upper Urinary Tract Disease",December[Number of Antibiotics Prescribed for this Condition3])</f>
        <v>0</v>
      </c>
      <c r="N31" s="21">
        <f t="shared" si="0"/>
        <v>4</v>
      </c>
      <c r="O31" s="21">
        <f>(N31/N37)*100</f>
        <v>6.3492063492063489</v>
      </c>
      <c r="P31" s="21" t="s">
        <v>305</v>
      </c>
    </row>
    <row r="32" spans="1:16">
      <c r="A32" s="21" t="s">
        <v>276</v>
      </c>
      <c r="B32" s="21">
        <f>SUMIF(January[Disease/Infection Type], "Lower Urinary Tract Disease",January[[Number of Antibiotics Prescribed for this Condition ]])+SUMIF(January[Disease/Infection Type2], "Lower Urinary Tract Disease",January[Number of Antibiotics Prescribed for this Condition2])+SUMIF(January[Disease/Infection Type3], "Lower Urinary Tract Disease",January[Number of Antibiotics Prescribed for this Condition3])</f>
        <v>1</v>
      </c>
      <c r="C32" s="21">
        <f>SUMIF(February[Disease/Infection Type], "Lower Urinary Tract Disease",February[[Number of Antibiotics Prescribed for this Condition ]])+SUMIF(February[Disease/Infection Type2], "Lower Urinary Tract Disease",February[Number of Antibiotics Prescribed for this Condition2])+SUMIF(February[Disease/Infection Type3], "Lower Urinary Tract Disease",February[Number of Antibiotics Prescribed for this Condition3])</f>
        <v>1</v>
      </c>
      <c r="D32" s="21">
        <f>SUMIF(March[Disease/Infection Type], "Lower Urinary Tract Disease",March[[Number of Antibiotics Prescribed for this Condition ]])+SUMIF(March[Disease/Infection Type2], "Lower Urinary Tract Disease",March[Number of Antibiotics Prescribed for this Condition2])+SUMIF(March[Disease/Infection Type3], "Lower Urinary Tract Disease",March[Number of Antibiotics Prescribed for this Condition3])</f>
        <v>1</v>
      </c>
      <c r="E32" s="21">
        <f>SUMIF(April[Disease/Infection Type], "Lower Urinary Tract Disease",April[[Number of Antibiotics Prescribed for this Condition ]])+SUMIF(April[Disease/Infection Type2], "Lower Urinary Tract Disease",April[Number of Antibiotics Prescribed for this Condition2])+SUMIF(April[Disease/Infection Type3], "Lower Urinary Tract Disease",April[Number of Antibiotics Prescribed for this Condition3])</f>
        <v>0</v>
      </c>
      <c r="F32" s="21">
        <f>SUMIF(May[Disease/Infection Type], "Lower Urinary Tract Disease",May[[Number of Antibiotics Prescribed for this Condition ]])+SUMIF(May[Disease/Infection Type2], "Lower Urinary Tract Disease",May[Number of Antibiotics Prescribed for this Condition2])+SUMIF(May[Disease/Infection Type3], "Lower Urinary Tract Disease",May[Number of Antibiotics Prescribed for this Condition3])</f>
        <v>0</v>
      </c>
      <c r="G32" s="21">
        <f>SUMIF(June[Disease/Infection Type], "Lower Urinary Tract Disease",June[[Number of Antibiotics Prescribed for this Condition ]])+SUMIF(June[Disease/Infection Type2], "Lower Urinary Tract Disease",June[Number of Antibiotics Prescribed for this Condition2])+SUMIF(June[Disease/Infection Type3], "Lower Urinary Tract Disease",June[Number of Antibiotics Prescribed for this Condition3])</f>
        <v>1</v>
      </c>
      <c r="H32" s="21">
        <f>SUMIF(July[Disease/Infection Type], "Lower Urinary Tract Disease",July[[Number of Antibiotics Prescribed for this Condition ]])+SUMIF(July[Disease/Infection Type2], "Lower Urinary Tract Disease",July[Number of Antibiotics Prescribed for this Condition2])+SUMIF(July[Disease/Infection Type3], "Lower Urinary Tract Disease",July[Number of Antibiotics Prescribed for this Condition3])</f>
        <v>1</v>
      </c>
      <c r="I32" s="21">
        <f>SUMIF(August[Disease/Infection Type], "Lower Urinary Tract Disease",August[[Number of Antibiotics Prescribed for this Condition ]])+SUMIF(August[Disease/Infection Type2], "Lower Urinary Tract Disease",August[Number of Antibiotics Prescribed for this Condition2])+SUMIF(August[Disease/Infection Type3], "Lower Urinary Tract Disease",August[Number of Antibiotics Prescribed for this Condition3])</f>
        <v>1</v>
      </c>
      <c r="J32" s="21">
        <f>SUMIF(September[Disease/Infection Type], "Lower Urinary Tract Disease",September[[Number of Antibiotics Prescribed for this Condition ]])+SUMIF(September[Disease/Infection Type2], "Lower Urinary Tract Disease",September[Number of Antibiotics Prescribed for this Condition2])+SUMIF(September[Disease/Infection Type3], "Lower Urinary Tract Disease",September[Number of Antibiotics Prescribed for this Condition3])</f>
        <v>0</v>
      </c>
      <c r="K32" s="21">
        <f>SUMIF(October[Disease/Infection Type], "Lower Urinary Tract Disease",October[[Number of Antibiotics Prescribed for this Condition ]])+SUMIF(October[Disease/Infection Type2], "Lower Urinary Tract Disease",October[Number of Antibiotics Prescribed for this Condition2])+SUMIF(October[Disease/Infection Type3], "Lower Urinary Tract Disease",October[Number of Antibiotics Prescribed for this Condition3])</f>
        <v>0</v>
      </c>
      <c r="L32" s="21">
        <f>SUMIF(November[Disease/Infection Type], "Lower Urinary Tract Disease",November[[Number of Antibiotics Prescribed for this Condition ]])+SUMIF(November[Disease/Infection Type2], "Lower Urinary Tract Disease",November[Number of Antibiotics Prescribed for this Condition2])+SUMIF(November[Disease/Infection Type3], "Lower Urinary Tract Disease",November[Number of Antibiotics Prescribed for this Condition3])</f>
        <v>0</v>
      </c>
      <c r="M32" s="21">
        <f>SUMIF(December[Disease/Infection Type], "Lower Urinary Tract Disease",December[[Number of Antibiotics Prescribed for this Condition ]])+SUMIF(December[Disease/Infection Type2], "Lower Urinary Tract Disease",December[Number of Antibiotics Prescribed for this Condition2])+SUMIF(December[Disease/Infection Type3], "Lower Urinary Tract Disease",December[Number of Antibiotics Prescribed for this Condition3])</f>
        <v>0</v>
      </c>
      <c r="N32" s="21">
        <f>SUM(B32:M32)</f>
        <v>6</v>
      </c>
      <c r="O32" s="21">
        <f>(N32/N37)*100</f>
        <v>9.5238095238095237</v>
      </c>
      <c r="P32" s="21" t="s">
        <v>306</v>
      </c>
    </row>
    <row r="33" spans="1:16">
      <c r="A33" s="21" t="s">
        <v>101</v>
      </c>
      <c r="B33" s="21">
        <f>SUMIF(January[Disease/Infection Type], "Vector-borne Disease",January[[Number of Antibiotics Prescribed for this Condition ]])+SUMIF(January[Disease/Infection Type2], "Vector-borne Disease",January[Number of Antibiotics Prescribed for this Condition2])+SUMIF(January[Disease/Infection Type3], "Vector-borne Disease",January[Number of Antibiotics Prescribed for this Condition3])</f>
        <v>0</v>
      </c>
      <c r="C33" s="21">
        <f>SUMIF(February[Disease/Infection Type], "Vector-borne Disease",February[[Number of Antibiotics Prescribed for this Condition ]])+SUMIF(February[Disease/Infection Type2], "Vector-borne Disease",February[Number of Antibiotics Prescribed for this Condition2])+SUMIF(February[Disease/Infection Type3], "Vector-borne Disease",February[Number of Antibiotics Prescribed for this Condition3])</f>
        <v>0</v>
      </c>
      <c r="D33" s="21">
        <f>SUMIF(March[Disease/Infection Type], "Vector-borne Disease",March[[Number of Antibiotics Prescribed for this Condition ]])+SUMIF(March[Disease/Infection Type2], "Vector-borne Disease",March[Number of Antibiotics Prescribed for this Condition2])+SUMIF(March[Disease/Infection Type3], "Vector-borne Disease",March[Number of Antibiotics Prescribed for this Condition3])</f>
        <v>1</v>
      </c>
      <c r="E33" s="21">
        <f>SUMIF(April[Disease/Infection Type], "Vector-borne Disease",April[[Number of Antibiotics Prescribed for this Condition ]])+SUMIF(April[Disease/Infection Type2], "Vector-borne Disease",April[Number of Antibiotics Prescribed for this Condition2])+SUMIF(April[Disease/Infection Type3], "Vector-borne Disease",April[Number of Antibiotics Prescribed for this Condition3])</f>
        <v>0</v>
      </c>
      <c r="F33" s="21">
        <f>SUMIF(May[Disease/Infection Type], "Vector-borne Disease",May[[Number of Antibiotics Prescribed for this Condition ]])+SUMIF(May[Disease/Infection Type2], "Vector-borne Disease",May[Number of Antibiotics Prescribed for this Condition2])+SUMIF(May[Disease/Infection Type3], "Vector-borne Disease",May[Number of Antibiotics Prescribed for this Condition3])</f>
        <v>1</v>
      </c>
      <c r="G33" s="21">
        <f>SUMIF(June[Disease/Infection Type], "Vector-borne Disease",June[[Number of Antibiotics Prescribed for this Condition ]])+SUMIF(June[Disease/Infection Type2], "Vector-borne Disease",June[Number of Antibiotics Prescribed for this Condition2])+SUMIF(June[Disease/Infection Type3], "Vector-borne Disease",June[Number of Antibiotics Prescribed for this Condition3])</f>
        <v>0</v>
      </c>
      <c r="H33" s="21">
        <f>SUMIF(July[Disease/Infection Type], "Vector-borne Disease",July[[Number of Antibiotics Prescribed for this Condition ]])+SUMIF(July[Disease/Infection Type2], "Vector-borne Disease",July[Number of Antibiotics Prescribed for this Condition2])+SUMIF(July[Disease/Infection Type3], "Vector-borne Disease",July[Number of Antibiotics Prescribed for this Condition3])</f>
        <v>0</v>
      </c>
      <c r="I33" s="21">
        <f>SUMIF(August[Disease/Infection Type], "Vector-borne Disease",August[[Number of Antibiotics Prescribed for this Condition ]])+SUMIF(August[Disease/Infection Type2], "Vector-borne Disease",August[Number of Antibiotics Prescribed for this Condition2])+SUMIF(August[Disease/Infection Type3], "Vector-borne Disease",August[Number of Antibiotics Prescribed for this Condition3])</f>
        <v>1</v>
      </c>
      <c r="J33" s="21">
        <f>SUMIF(September[Disease/Infection Type], "Vector-borne Disease",September[[Number of Antibiotics Prescribed for this Condition ]])+SUMIF(September[Disease/Infection Type2], "Vector-borne Disease",September[Number of Antibiotics Prescribed for this Condition2])+SUMIF(September[Disease/Infection Type3], "Vector-borne Disease",September[Number of Antibiotics Prescribed for this Condition3])</f>
        <v>1</v>
      </c>
      <c r="K33" s="21">
        <f>SUMIF(October[Disease/Infection Type], "Vector-borne Disease",October[[Number of Antibiotics Prescribed for this Condition ]])+SUMIF(October[Disease/Infection Type2], "Vector-borne Disease",October[Number of Antibiotics Prescribed for this Condition2])+SUMIF(October[Disease/Infection Type3], "Vector-borne Disease",October[Number of Antibiotics Prescribed for this Condition3])</f>
        <v>0</v>
      </c>
      <c r="L33" s="21">
        <f>SUMIF(November[Disease/Infection Type], "Vector-borne Disease",November[[Number of Antibiotics Prescribed for this Condition ]])+SUMIF(November[Disease/Infection Type2], "Vector-borne Disease",November[Number of Antibiotics Prescribed for this Condition2])+SUMIF(November[Disease/Infection Type3], "Vector-borne Disease",November[Number of Antibiotics Prescribed for this Condition3])</f>
        <v>0</v>
      </c>
      <c r="M33" s="21">
        <f>SUMIF(December[Disease/Infection Type], "Vector-borne Disease",December[[Number of Antibiotics Prescribed for this Condition ]])+SUMIF(December[Disease/Infection Type2], "Vector-borne Disease",December[Number of Antibiotics Prescribed for this Condition2])+SUMIF(December[Disease/Infection Type3], "Vector-borne Disease",December[Number of Antibiotics Prescribed for this Condition3])</f>
        <v>0</v>
      </c>
      <c r="N33" s="21">
        <f t="shared" si="0"/>
        <v>4</v>
      </c>
      <c r="O33" s="21">
        <f>(N33/N37)*100</f>
        <v>6.3492063492063489</v>
      </c>
      <c r="P33" s="21" t="s">
        <v>307</v>
      </c>
    </row>
    <row r="34" spans="1:16">
      <c r="A34" s="21" t="s">
        <v>21</v>
      </c>
      <c r="B34" s="21">
        <f>SUMIF(January[Disease/Infection Type], "Other",January[[Number of Antibiotics Prescribed for this Condition ]])+SUMIF(January[Disease/Infection Type2], "Other",January[Number of Antibiotics Prescribed for this Condition2])+SUMIF(January[Disease/Infection Type3], "Other",January[Number of Antibiotics Prescribed for this Condition3])</f>
        <v>0</v>
      </c>
      <c r="C34" s="21">
        <f>SUMIF(February[Disease/Infection Type], "Other",February[[Number of Antibiotics Prescribed for this Condition ]])+SUMIF(February[Disease/Infection Type2], "Other",February[Number of Antibiotics Prescribed for this Condition2])+SUMIF(February[Disease/Infection Type3], "Other",February[Number of Antibiotics Prescribed for this Condition3])</f>
        <v>0</v>
      </c>
      <c r="D34" s="21">
        <f>SUMIF(March[Disease/Infection Type], "Other",March[[Number of Antibiotics Prescribed for this Condition ]])+SUMIF(March[Disease/Infection Type2], "Other",March[Number of Antibiotics Prescribed for this Condition2])+SUMIF(March[Disease/Infection Type3], "Other",March[Number of Antibiotics Prescribed for this Condition3])</f>
        <v>0</v>
      </c>
      <c r="E34" s="21">
        <f>SUMIF(April[Disease/Infection Type], "Other",April[[Number of Antibiotics Prescribed for this Condition ]])+SUMIF(April[Disease/Infection Type2], "Other",April[Number of Antibiotics Prescribed for this Condition2])+SUMIF(April[Disease/Infection Type3], "Other",April[Number of Antibiotics Prescribed for this Condition3])</f>
        <v>0</v>
      </c>
      <c r="F34" s="21">
        <f>SUMIF(May[Disease/Infection Type], "Other",May[[Number of Antibiotics Prescribed for this Condition ]])+SUMIF(May[Disease/Infection Type2], "Other",May[Number of Antibiotics Prescribed for this Condition2])+SUMIF(May[Disease/Infection Type3], "Other",May[Number of Antibiotics Prescribed for this Condition3])</f>
        <v>1</v>
      </c>
      <c r="G34" s="21">
        <f>SUMIF(June[Disease/Infection Type], "Other",June[[Number of Antibiotics Prescribed for this Condition ]])+SUMIF(June[Disease/Infection Type2], "Other",June[Number of Antibiotics Prescribed for this Condition2])+SUMIF(June[Disease/Infection Type3], "Other",June[Number of Antibiotics Prescribed for this Condition3])</f>
        <v>0</v>
      </c>
      <c r="H34" s="21">
        <f>SUMIF(July[Disease/Infection Type], "Other",July[[Number of Antibiotics Prescribed for this Condition ]])+SUMIF(July[Disease/Infection Type2], "Other",July[Number of Antibiotics Prescribed for this Condition2])+SUMIF(July[Disease/Infection Type3], "Other",July[Number of Antibiotics Prescribed for this Condition3])</f>
        <v>0</v>
      </c>
      <c r="I34" s="21">
        <f>SUMIF(August[Disease/Infection Type], "Other",August[[Number of Antibiotics Prescribed for this Condition ]])+SUMIF(August[Disease/Infection Type2], "Other",August[Number of Antibiotics Prescribed for this Condition2])+SUMIF(August[Disease/Infection Type3], "Other",August[Number of Antibiotics Prescribed for this Condition3])</f>
        <v>0</v>
      </c>
      <c r="J34" s="21">
        <f>SUMIF(September[Disease/Infection Type], "Other",September[[Number of Antibiotics Prescribed for this Condition ]])+SUMIF(September[Disease/Infection Type2], "Other",September[Number of Antibiotics Prescribed for this Condition2])+SUMIF(September[Disease/Infection Type3], "Other",September[Number of Antibiotics Prescribed for this Condition3])</f>
        <v>0</v>
      </c>
      <c r="K34" s="21">
        <f>SUMIF(October[Disease/Infection Type], "Other",October[[Number of Antibiotics Prescribed for this Condition ]])+SUMIF(October[Disease/Infection Type2], "Other",October[Number of Antibiotics Prescribed for this Condition2])+SUMIF(October[Disease/Infection Type3], "Other",October[Number of Antibiotics Prescribed for this Condition3])</f>
        <v>0</v>
      </c>
      <c r="L34" s="21">
        <f>SUMIF(November[Disease/Infection Type], "Other",November[[Number of Antibiotics Prescribed for this Condition ]])+SUMIF(November[Disease/Infection Type2], "Other",November[Number of Antibiotics Prescribed for this Condition2])+SUMIF(November[Disease/Infection Type3], "Other",November[Number of Antibiotics Prescribed for this Condition3])</f>
        <v>0</v>
      </c>
      <c r="M34" s="21">
        <f>SUMIF(December[Disease/Infection Type], "Other",December[[Number of Antibiotics Prescribed for this Condition ]])+SUMIF(December[Disease/Infection Type2], "Other",December[Number of Antibiotics Prescribed for this Condition2])+SUMIF(December[Disease/Infection Type3], "Other",December[Number of Antibiotics Prescribed for this Condition3])</f>
        <v>0</v>
      </c>
      <c r="N34" s="21">
        <f t="shared" si="0"/>
        <v>1</v>
      </c>
      <c r="O34" s="21">
        <f>(N34/N37)*100</f>
        <v>1.5873015873015872</v>
      </c>
      <c r="P34" s="21" t="s">
        <v>21</v>
      </c>
    </row>
    <row r="35" spans="1:16">
      <c r="A35" s="21" t="s">
        <v>100</v>
      </c>
      <c r="B35" s="21">
        <f>SUMIF(January[Disease/Infection Type], "None",January[[Number of Antibiotics Prescribed for this Condition ]])+SUMIF(January[Disease/Infection Type2], "None",January[Number of Antibiotics Prescribed for this Condition2])+SUMIF(January[Disease/Infection Type3], "None",January[Number of Antibiotics Prescribed for this Condition3])</f>
        <v>0</v>
      </c>
      <c r="C35" s="21">
        <f>SUMIF(February[Disease/Infection Type], "None",February[[Number of Antibiotics Prescribed for this Condition ]])+SUMIF(February[Disease/Infection Type2], "None",February[Number of Antibiotics Prescribed for this Condition2])+SUMIF(February[Disease/Infection Type3], "None",February[Number of Antibiotics Prescribed for this Condition3])</f>
        <v>0</v>
      </c>
      <c r="D35" s="21">
        <f>SUMIF(March[Disease/Infection Type], "None",March[[Number of Antibiotics Prescribed for this Condition ]])+SUMIF(March[Disease/Infection Type2], "None",March[Number of Antibiotics Prescribed for this Condition2])+SUMIF(March[Disease/Infection Type3], "None",March[Number of Antibiotics Prescribed for this Condition3])</f>
        <v>0</v>
      </c>
      <c r="E35" s="21">
        <f>SUMIF(April[Disease/Infection Type], "None",April[[Number of Antibiotics Prescribed for this Condition ]])+SUMIF(April[Disease/Infection Type2], "None",April[Number of Antibiotics Prescribed for this Condition2])+SUMIF(April[Disease/Infection Type3], "None",April[Number of Antibiotics Prescribed for this Condition3])</f>
        <v>0</v>
      </c>
      <c r="F35" s="21">
        <f>SUMIF(May[Disease/Infection Type], "None",May[[Number of Antibiotics Prescribed for this Condition ]])+SUMIF(May[Disease/Infection Type2], "None",May[Number of Antibiotics Prescribed for this Condition2])+SUMIF(May[Disease/Infection Type3], "None",May[Number of Antibiotics Prescribed for this Condition3])</f>
        <v>0</v>
      </c>
      <c r="G35" s="21">
        <f>SUMIF(June[Disease/Infection Type], "None",June[[Number of Antibiotics Prescribed for this Condition ]])+SUMIF(June[Disease/Infection Type2], "None",June[Number of Antibiotics Prescribed for this Condition2])+SUMIF(June[Disease/Infection Type3], "None",June[Number of Antibiotics Prescribed for this Condition3])</f>
        <v>0</v>
      </c>
      <c r="H35" s="21">
        <f>SUMIF(July[Disease/Infection Type], "None",July[[Number of Antibiotics Prescribed for this Condition ]])+SUMIF(July[Disease/Infection Type2], "None",July[Number of Antibiotics Prescribed for this Condition2])+SUMIF(July[Disease/Infection Type3], "None",July[Number of Antibiotics Prescribed for this Condition3])</f>
        <v>0</v>
      </c>
      <c r="I35" s="21">
        <f>SUMIF(August[Disease/Infection Type], "None",August[[Number of Antibiotics Prescribed for this Condition ]])+SUMIF(August[Disease/Infection Type2], "None",August[Number of Antibiotics Prescribed for this Condition2])+SUMIF(August[Disease/Infection Type3], "None",August[Number of Antibiotics Prescribed for this Condition3])</f>
        <v>0</v>
      </c>
      <c r="J35" s="21">
        <f>SUMIF(September[Disease/Infection Type], "None",September[[Number of Antibiotics Prescribed for this Condition ]])+SUMIF(September[Disease/Infection Type2], "None",September[Number of Antibiotics Prescribed for this Condition2])+SUMIF(September[Disease/Infection Type3], "None",September[Number of Antibiotics Prescribed for this Condition3])</f>
        <v>0</v>
      </c>
      <c r="K35" s="21">
        <f>SUMIF(October[Disease/Infection Type], "None",October[[Number of Antibiotics Prescribed for this Condition ]])+SUMIF(October[Disease/Infection Type2], "None",October[Number of Antibiotics Prescribed for this Condition2])+SUMIF(October[Disease/Infection Type3], "None",October[Number of Antibiotics Prescribed for this Condition3])</f>
        <v>0</v>
      </c>
      <c r="L35" s="21">
        <f>SUMIF(November[Disease/Infection Type], "None",November[[Number of Antibiotics Prescribed for this Condition ]])+SUMIF(November[Disease/Infection Type2], "None",November[Number of Antibiotics Prescribed for this Condition2])+SUMIF(November[Disease/Infection Type3], "None",November[Number of Antibiotics Prescribed for this Condition3])</f>
        <v>0</v>
      </c>
      <c r="M35" s="21">
        <f>SUMIF(December[Disease/Infection Type], "None",December[[Number of Antibiotics Prescribed for this Condition ]])+SUMIF(December[Disease/Infection Type2], "None",December[Number of Antibiotics Prescribed for this Condition2])+SUMIF(December[Disease/Infection Type3], "None",December[Number of Antibiotics Prescribed for this Condition3])</f>
        <v>0</v>
      </c>
      <c r="N35" s="21">
        <f t="shared" si="0"/>
        <v>0</v>
      </c>
      <c r="O35" s="21">
        <f>(N35/N37)*100</f>
        <v>0</v>
      </c>
      <c r="P35" s="21" t="s">
        <v>100</v>
      </c>
    </row>
    <row r="36" spans="1:16">
      <c r="A36" s="21" t="s">
        <v>64</v>
      </c>
      <c r="B36" s="21">
        <f>SUMIF(January[Disease/Infection Type], "Unknown",January[[Number of Antibiotics Prescribed for this Condition ]])+SUMIF(January[Disease/Infection Type2], "Unknown",January[Number of Antibiotics Prescribed for this Condition2])+SUMIF(January[Disease/Infection Type3], "Unknown",January[Number of Antibiotics Prescribed for this Condition3])</f>
        <v>0</v>
      </c>
      <c r="C36" s="21">
        <f>SUMIF(February[Disease/Infection Type], "Unknown",February[[Number of Antibiotics Prescribed for this Condition ]])+SUMIF(February[Disease/Infection Type2], "Unknown",February[Number of Antibiotics Prescribed for this Condition2])+SUMIF(February[Disease/Infection Type3], "Unknown",February[Number of Antibiotics Prescribed for this Condition3])</f>
        <v>0</v>
      </c>
      <c r="D36" s="21">
        <f>SUMIF(March[Disease/Infection Type], "Unknown",March[[Number of Antibiotics Prescribed for this Condition ]])+SUMIF(March[Disease/Infection Type2], "Unknown",March[Number of Antibiotics Prescribed for this Condition2])+SUMIF(March[Disease/Infection Type3], "Unknown",March[Number of Antibiotics Prescribed for this Condition3])</f>
        <v>0</v>
      </c>
      <c r="E36" s="21">
        <f>SUMIF(April[Disease/Infection Type], "Unknown",April[[Number of Antibiotics Prescribed for this Condition ]])+SUMIF(April[Disease/Infection Type2], "Unknown",April[Number of Antibiotics Prescribed for this Condition2])+SUMIF(April[Disease/Infection Type3], "Unknown",April[Number of Antibiotics Prescribed for this Condition3])</f>
        <v>0</v>
      </c>
      <c r="F36" s="21">
        <f>SUMIF(May[Disease/Infection Type], "Unknown",May[[Number of Antibiotics Prescribed for this Condition ]])+SUMIF(May[Disease/Infection Type2], "Unknown",May[Number of Antibiotics Prescribed for this Condition2])+SUMIF(May[Disease/Infection Type3], "Unknown",May[Number of Antibiotics Prescribed for this Condition3])</f>
        <v>0</v>
      </c>
      <c r="G36" s="21">
        <f>SUMIF(June[Disease/Infection Type], "Unknown",June[[Number of Antibiotics Prescribed for this Condition ]])+SUMIF(June[Disease/Infection Type2], "Unknown",June[Number of Antibiotics Prescribed for this Condition2])+SUMIF(June[Disease/Infection Type3], "Unknown",June[Number of Antibiotics Prescribed for this Condition3])</f>
        <v>0</v>
      </c>
      <c r="H36" s="21">
        <f>SUMIF(July[Disease/Infection Type], "Unknown",July[[Number of Antibiotics Prescribed for this Condition ]])+SUMIF(July[Disease/Infection Type2], "Unknown",July[Number of Antibiotics Prescribed for this Condition2])+SUMIF(July[Disease/Infection Type3], "Unknown",July[Number of Antibiotics Prescribed for this Condition3])</f>
        <v>0</v>
      </c>
      <c r="I36" s="21">
        <f>SUMIF(August[Disease/Infection Type], "Unknown",August[[Number of Antibiotics Prescribed for this Condition ]])+SUMIF(August[Disease/Infection Type2], "Unknown",August[Number of Antibiotics Prescribed for this Condition2])+SUMIF(August[Disease/Infection Type3], "Unknown",August[Number of Antibiotics Prescribed for this Condition3])</f>
        <v>0</v>
      </c>
      <c r="J36" s="21">
        <f>SUMIF(September[Disease/Infection Type], "Unknown",September[[Number of Antibiotics Prescribed for this Condition ]])+SUMIF(September[Disease/Infection Type2], "Unknown",September[Number of Antibiotics Prescribed for this Condition2])+SUMIF(September[Disease/Infection Type3], "Unknown",September[Number of Antibiotics Prescribed for this Condition3])</f>
        <v>0</v>
      </c>
      <c r="K36" s="21">
        <f>SUMIF(October[Disease/Infection Type], "Unknown",October[[Number of Antibiotics Prescribed for this Condition ]])+SUMIF(October[Disease/Infection Type2], "Unknown",October[Number of Antibiotics Prescribed for this Condition2])+SUMIF(October[Disease/Infection Type3], "Unknown",October[Number of Antibiotics Prescribed for this Condition3])</f>
        <v>0</v>
      </c>
      <c r="L36" s="21">
        <f>SUMIF(November[Disease/Infection Type], "Unknown",November[[Number of Antibiotics Prescribed for this Condition ]])+SUMIF(November[Disease/Infection Type2], "Unknown",November[Number of Antibiotics Prescribed for this Condition2])+SUMIF(November[Disease/Infection Type3], "Unknown",November[Number of Antibiotics Prescribed for this Condition3])</f>
        <v>0</v>
      </c>
      <c r="M36" s="21">
        <f>SUMIF(December[Disease/Infection Type], "Unknown",December[[Number of Antibiotics Prescribed for this Condition ]])+SUMIF(December[Disease/Infection Type2], "Unknown",December[Number of Antibiotics Prescribed for this Condition2])+SUMIF(December[Disease/Infection Type3], "Unknown",December[Number of Antibiotics Prescribed for this Condition3])</f>
        <v>0</v>
      </c>
      <c r="N36" s="21">
        <f t="shared" si="0"/>
        <v>0</v>
      </c>
      <c r="O36" s="21">
        <f>(N36/N37)*100</f>
        <v>0</v>
      </c>
      <c r="P36" s="21" t="s">
        <v>64</v>
      </c>
    </row>
    <row r="37" spans="1:16">
      <c r="M37" s="21" t="s">
        <v>232</v>
      </c>
      <c r="N37" s="21">
        <f>SUM(N19:N36)</f>
        <v>63</v>
      </c>
    </row>
    <row r="41" spans="1:16">
      <c r="A41" s="35"/>
      <c r="B41" s="35" t="s">
        <v>235</v>
      </c>
      <c r="C41" s="35" t="s">
        <v>267</v>
      </c>
      <c r="D41" s="21" t="s">
        <v>268</v>
      </c>
    </row>
    <row r="42" spans="1:16">
      <c r="A42" s="21" t="s">
        <v>68</v>
      </c>
      <c r="B42" s="21">
        <f>COUNTIFS(January[Patient Prescribed Antibiotic (Y/N/WW)], "Yes", January[Diagnostics Offered for Infectious Condition (Y/N)], "Yes")+COUNTIF(January[Diagnostics Offered for Infectious Condition (Y/N)2], "Yes")+COUNTIF(January[Diagnostics Offered for Infectious Condition (Y/N)3], "Yes")</f>
        <v>4</v>
      </c>
      <c r="C42" s="21">
        <f>COUNTIFS(January[Patient Prescribed Antibiotic (Y/N/WW)], "Yes",January[Diagnostic Performed for Infectious Condition (Y/N)], "Yes")+COUNTIF(January[Diagnostic Performed for Infectious Condition (Y/N)2], "Yes")+COUNTIF(January[Diagnostic Performed for Infectious Condition (Y/N)3], "Yes")</f>
        <v>3</v>
      </c>
    </row>
    <row r="43" spans="1:16">
      <c r="A43" s="21" t="s">
        <v>69</v>
      </c>
      <c r="B43" s="21">
        <f>COUNTIFS(February[Patient Prescribed Antibiotic (Y/N/WW)], "Yes", February[Diagnostics Offered for Infectious Condition (Y/N)], "Yes")+COUNTIF(February[Diagnostics Offered for Infectious Condition (Y/N)2], "Yes")+COUNTIF(February[Diagnostics Offered for Infectious Condition (Y/N)3], "Yes")</f>
        <v>5</v>
      </c>
      <c r="C43" s="21">
        <f>COUNTIFS(February[Patient Prescribed Antibiotic (Y/N/WW)], "Yes",February[Diagnostic Performed for Infectious Condition (Y/N)], "Yes")+COUNTIF(February[Diagnostic Performed for Infectious Condition (Y/N)2], "Yes")+COUNTIF(February[Diagnostic Performed for Infectious Condition (Y/N)3], "Yes")</f>
        <v>4</v>
      </c>
    </row>
    <row r="44" spans="1:16">
      <c r="A44" s="21" t="s">
        <v>70</v>
      </c>
      <c r="B44" s="21">
        <f>COUNTIFS(March[Patient Prescribed Antibiotic (Y/N/WW)], "Yes", March[Diagnostics Offered for Infectious Condition (Y/N)], "Yes")+COUNTIF(March[Diagnostics Offered for Infectious Condition (Y/N)2], "Yes")+COUNTIF(March[Diagnostics Offered for Infectious Condition (Y/N)3], "Yes")</f>
        <v>7</v>
      </c>
      <c r="C44" s="21">
        <f>COUNTIFS(March[Patient Prescribed Antibiotic (Y/N/WW)], "Yes",March[Diagnostic Performed for Infectious Condition (Y/N)], "Yes")+COUNTIF(March[Diagnostic Performed for Infectious Condition (Y/N)2], "Yes")+COUNTIF(March[Diagnostic Performed for Infectious Condition (Y/N)3], "Yes")</f>
        <v>5</v>
      </c>
    </row>
    <row r="45" spans="1:16">
      <c r="A45" s="21" t="s">
        <v>71</v>
      </c>
      <c r="B45" s="21">
        <f>COUNTIFS(April[Patient Prescribed Antibiotic (Y/N/WW)], "Yes", April[Diagnostics Offered for Infectious Condition (Y/N)], "Yes")+COUNTIF(April[Diagnostics Offered for Infectious Condition (Y/N)2], "Yes")+COUNTIF(April[Diagnostics Offered for Infectious Condition (Y/N)3], "Yes")</f>
        <v>6</v>
      </c>
      <c r="C45" s="21">
        <f>COUNTIFS(April[Patient Prescribed Antibiotic (Y/N/WW)], "Yes",April[Diagnostic Performed for Infectious Condition (Y/N)], "Yes")+COUNTIF(April[Diagnostic Performed for Infectious Condition (Y/N)2], "Yes")+COUNTIF(April[Diagnostic Performed for Infectious Condition (Y/N)3], "Yes")</f>
        <v>5</v>
      </c>
    </row>
    <row r="46" spans="1:16">
      <c r="A46" s="21" t="s">
        <v>72</v>
      </c>
      <c r="B46" s="21">
        <f>COUNTIFS(May[Patient Prescribed Antibiotic (Y/N/WW)], "Yes", May[Diagnostics Offered for Infectious Condition (Y/N)], "Yes")+COUNTIF(May[Diagnostics Offered for Infectious Condition (Y/N)2], "Yes")+COUNTIF(May[Diagnostics Offered for Infectious Condition (Y/N)3], "Yes")</f>
        <v>6</v>
      </c>
      <c r="C46" s="21">
        <f>COUNTIFS(May[Patient Prescribed Antibiotic (Y/N/WW)], "Yes",May[Diagnostic Performed for Infectious Condition (Y/N)], "Yes")+COUNTIF(May[Diagnostic Performed for Infectious Condition (Y/N)2], "Yes")+COUNTIF(May[Diagnostic Performed for Infectious Condition (Y/N)3], "Yes")</f>
        <v>5</v>
      </c>
    </row>
    <row r="47" spans="1:16">
      <c r="A47" s="21" t="s">
        <v>73</v>
      </c>
      <c r="B47" s="21">
        <f>COUNTIFS(June[Patient Prescribed Antibiotic (Y/N/WW)], "Yes", June[Diagnostics Offered for Infectious Condition (Y/N)], "Yes")+COUNTIF(June[Diagnostics Offered for Infectious Condition (Y/N)2], "Yes")+COUNTIF(June[Diagnostics Offered for Infectious Condition (Y/N)3], "Yes")</f>
        <v>5</v>
      </c>
      <c r="C47" s="21">
        <f>COUNTIFS(June[Patient Prescribed Antibiotic (Y/N/WW)], "Yes",June[Diagnostic Performed for Infectious Condition (Y/N)], "Yes")+COUNTIF(June[Diagnostic Performed for Infectious Condition (Y/N)2], "Yes")+COUNTIF(June[Diagnostic Performed for Infectious Condition (Y/N)3], "Yes")</f>
        <v>4</v>
      </c>
    </row>
    <row r="48" spans="1:16">
      <c r="A48" s="21" t="s">
        <v>74</v>
      </c>
      <c r="B48" s="21">
        <f>COUNTIFS(July[Patient Prescribed Antibiotic (Y/N/WW)], "Yes", July[Diagnostics Offered for Infectious Condition (Y/N)], "Yes")+COUNTIF(July[Diagnostics Offered for Infectious Condition (Y/N)2], "Yes")+COUNTIF(July[Diagnostics Offered for Infectious Condition (Y/N)3], "Yes")</f>
        <v>5</v>
      </c>
      <c r="C48" s="21">
        <f>COUNTIFS(July[Patient Prescribed Antibiotic (Y/N/WW)], "Yes",July[Diagnostic Performed for Infectious Condition (Y/N)], "Yes")+COUNTIF(July[Diagnostic Performed for Infectious Condition (Y/N)2], "Yes")+COUNTIF(July[Diagnostic Performed for Infectious Condition (Y/N)3], "Yes")</f>
        <v>3</v>
      </c>
    </row>
    <row r="49" spans="1:28">
      <c r="A49" s="21" t="s">
        <v>75</v>
      </c>
      <c r="B49" s="21">
        <f>COUNTIFS(August[Patient Prescribed Antibiotic (Y/N/WW)], "Yes", August[Diagnostics Offered for Infectious Condition (Y/N)], "Yes")+COUNTIF(August[Diagnostics Offered for Infectious Condition (Y/N)2], "Yes")+COUNTIF(August[Diagnostics Offered for Infectious Condition (Y/N)3], "Yes")</f>
        <v>3</v>
      </c>
      <c r="C49" s="21">
        <f>COUNTIFS(August[Patient Prescribed Antibiotic (Y/N/WW)], "Yes",August[Diagnostic Performed for Infectious Condition (Y/N)], "Yes")+COUNTIF(August[Diagnostic Performed for Infectious Condition (Y/N)2], "Yes")+COUNTIF(August[Diagnostic Performed for Infectious Condition (Y/N)3], "Yes")</f>
        <v>2</v>
      </c>
    </row>
    <row r="50" spans="1:28">
      <c r="A50" s="21" t="s">
        <v>76</v>
      </c>
      <c r="B50" s="21">
        <f>COUNTIFS(September[Patient Prescribed Antibiotic (Y/N/WW)], "Yes", September[Diagnostics Offered for Infectious Condition (Y/N)], "Yes")+COUNTIF(September[Diagnostics Offered for Infectious Condition (Y/N)2], "Yes")+COUNTIF(September[Diagnostics Offered for Infectious Condition (Y/N)3], "Yes")</f>
        <v>2</v>
      </c>
      <c r="C50" s="21">
        <f>COUNTIFS(September[Patient Prescribed Antibiotic (Y/N/WW)], "Yes",September[Diagnostic Performed for Infectious Condition (Y/N)], "Yes")+COUNTIF(September[Diagnostic Performed for Infectious Condition (Y/N)2], "Yes")+COUNTIF(September[Diagnostic Performed for Infectious Condition (Y/N)3], "Yes")</f>
        <v>2</v>
      </c>
    </row>
    <row r="51" spans="1:28">
      <c r="A51" s="21" t="s">
        <v>77</v>
      </c>
      <c r="B51" s="21">
        <f>COUNTIFS(October[Patient Prescribed Antibiotic (Y/N/WW)], "Yes", October[Diagnostics Offered for Infectious Condition (Y/N)], "Yes")+COUNTIF(October[Diagnostics Offered for Infectious Condition (Y/N)2], "Yes")+COUNTIF(October[Diagnostics Offered for Infectious Condition (Y/N)3], "Yes")</f>
        <v>1</v>
      </c>
      <c r="C51" s="36">
        <f>COUNTIFS(October[Patient Prescribed Antibiotic (Y/N/WW)], "Yes",October[Diagnostic Performed for Infectious Condition (Y/N)], "Yes")+COUNTIF(October[Diagnostic Performed for Infectious Condition (Y/N)2], "Yes")+COUNTIF(October[Diagnostic Performed for Infectious Condition (Y/N)3], "Yes")</f>
        <v>0</v>
      </c>
    </row>
    <row r="52" spans="1:28">
      <c r="A52" s="21" t="s">
        <v>78</v>
      </c>
      <c r="B52" s="21">
        <f>COUNTIFS(November[Patient Prescribed Antibiotic (Y/N/WW)], "Yes", November[Diagnostics Offered for Infectious Condition (Y/N)], "Yes")+COUNTIF(November[Diagnostics Offered for Infectious Condition (Y/N)2], "Yes")+COUNTIF(November[Diagnostics Offered for Infectious Condition (Y/N)3], "Yes")</f>
        <v>3</v>
      </c>
      <c r="C52" s="21">
        <f>COUNTIFS(November[Patient Prescribed Antibiotic (Y/N/WW)], "Yes",November[Diagnostic Performed for Infectious Condition (Y/N)], "Yes")+COUNTIF(November[Diagnostic Performed for Infectious Condition (Y/N)2], "Yes")+COUNTIF(November[Diagnostic Performed for Infectious Condition (Y/N)3], "Yes")</f>
        <v>2</v>
      </c>
    </row>
    <row r="53" spans="1:28">
      <c r="A53" s="21" t="s">
        <v>79</v>
      </c>
      <c r="B53" s="21">
        <f>COUNTIFS(December[Patient Prescribed Antibiotic (Y/N/WW)], "Yes", December[Diagnostics Offered for Infectious Condition (Y/N)], "Yes")+COUNTIF(December[Diagnostics Offered for Infectious Condition (Y/N)2], "Yes")+COUNTIF(December[Diagnostics Offered for Infectious Condition (Y/N)3], "Yes")</f>
        <v>2</v>
      </c>
      <c r="C53" s="21">
        <f>COUNTIFS(December[Patient Prescribed Antibiotic (Y/N/WW)], "Yes",December[Diagnostic Performed for Infectious Condition (Y/N)], "Yes")+COUNTIF(December[Diagnostic Performed for Infectious Condition (Y/N)2], "Yes")+COUNTIF(December[Diagnostic Performed for Infectious Condition (Y/N)3], "Yes")</f>
        <v>1</v>
      </c>
    </row>
    <row r="54" spans="1:28">
      <c r="A54" s="21" t="s">
        <v>212</v>
      </c>
      <c r="B54" s="21">
        <f>SUM(B42:B53)</f>
        <v>49</v>
      </c>
      <c r="C54" s="21">
        <f>SUM(C42:C53)</f>
        <v>36</v>
      </c>
    </row>
    <row r="60" spans="1:28">
      <c r="A60" s="35" t="s">
        <v>269</v>
      </c>
    </row>
    <row r="61" spans="1:28">
      <c r="A61" s="21" t="s">
        <v>25</v>
      </c>
    </row>
    <row r="62" spans="1:28">
      <c r="A62" s="21" t="s">
        <v>26</v>
      </c>
    </row>
    <row r="63" spans="1:28">
      <c r="A63" s="21" t="s">
        <v>240</v>
      </c>
    </row>
    <row r="64" spans="1:28">
      <c r="A64" s="21" t="s">
        <v>27</v>
      </c>
      <c r="C64" s="35"/>
      <c r="G64" s="21" t="s">
        <v>52</v>
      </c>
      <c r="H64" s="21" t="s">
        <v>119</v>
      </c>
      <c r="I64" s="21" t="s">
        <v>257</v>
      </c>
      <c r="J64" s="21" t="s">
        <v>55</v>
      </c>
      <c r="K64" s="21" t="s">
        <v>57</v>
      </c>
      <c r="L64" s="21" t="s">
        <v>254</v>
      </c>
      <c r="M64" s="21" t="s">
        <v>60</v>
      </c>
      <c r="N64" s="21" t="s">
        <v>259</v>
      </c>
      <c r="O64" s="21" t="s">
        <v>58</v>
      </c>
      <c r="P64" s="21" t="s">
        <v>54</v>
      </c>
      <c r="Q64" s="21" t="s">
        <v>63</v>
      </c>
      <c r="R64" s="21" t="s">
        <v>62</v>
      </c>
      <c r="S64" s="21" t="s">
        <v>252</v>
      </c>
      <c r="T64" s="21" t="s">
        <v>238</v>
      </c>
      <c r="U64" s="21" t="s">
        <v>263</v>
      </c>
      <c r="V64" s="21" t="s">
        <v>53</v>
      </c>
      <c r="W64" s="21" t="s">
        <v>56</v>
      </c>
      <c r="X64" s="21" t="s">
        <v>59</v>
      </c>
      <c r="Y64" s="21" t="s">
        <v>125</v>
      </c>
      <c r="Z64" s="21" t="s">
        <v>48</v>
      </c>
      <c r="AA64" s="21" t="s">
        <v>140</v>
      </c>
      <c r="AB64" s="21" t="s">
        <v>61</v>
      </c>
    </row>
    <row r="65" spans="1:29">
      <c r="A65" s="21" t="s">
        <v>239</v>
      </c>
      <c r="F65" s="21" t="s">
        <v>68</v>
      </c>
      <c r="G65" s="21">
        <f>COUNTIF(January!1:1048576, "Aminoglycosides")</f>
        <v>0</v>
      </c>
      <c r="H65" s="21">
        <f>COUNTIF(January!1:1048576, "B-lactam/B-lactamase inhibitor combination")</f>
        <v>0</v>
      </c>
      <c r="I65" s="21">
        <f>COUNTIF(January!1:1048576, "Carbapenems")</f>
        <v>0</v>
      </c>
      <c r="J65" s="21">
        <f>COUNTIF(January!1:1048576, "Cephalosporins")</f>
        <v>1</v>
      </c>
      <c r="K65" s="21">
        <f>COUNTIF(January!1:1048576, "Fluoroquinolones")</f>
        <v>1</v>
      </c>
      <c r="L65" s="21">
        <f>COUNTIF(January!1:1048576, "Fosfomycins")</f>
        <v>0</v>
      </c>
      <c r="M65" s="21">
        <f>COUNTIF(January!1:1048576, "Glycopeptides")</f>
        <v>0</v>
      </c>
      <c r="N65" s="21">
        <f>COUNTIF(January!1:1048576, "Glycylcyclines")</f>
        <v>0</v>
      </c>
      <c r="O65" s="21">
        <f>COUNTIF(January!1:1048576, "Lincosamides")</f>
        <v>0</v>
      </c>
      <c r="P65" s="21">
        <f>COUNTIF(January!1:1048576, "Macrolides")</f>
        <v>0</v>
      </c>
      <c r="Q65" s="21">
        <f>COUNTIF(January!1:1048576, "Nitrofurans")</f>
        <v>0</v>
      </c>
      <c r="R65" s="21">
        <f>COUNTIF(January!1:1048576, "Nitroimidazoles")</f>
        <v>1</v>
      </c>
      <c r="S65" s="21">
        <f>COUNTIF(January!1:1048576, "Ophthalmic")</f>
        <v>0</v>
      </c>
      <c r="T65" s="21">
        <f>COUNTIF(January!1:1048576, "Otic")</f>
        <v>1</v>
      </c>
      <c r="U65" s="21">
        <f>COUNTIF(January!1:1048576, "Oxazolidinones")</f>
        <v>0</v>
      </c>
      <c r="V65" s="21">
        <f>COUNTIF(January!1:1048576, "Penicillins")</f>
        <v>1</v>
      </c>
      <c r="W65" s="21">
        <f>COUNTIF(January!1:1048576, "Phenicols")</f>
        <v>0</v>
      </c>
      <c r="X65" s="21">
        <f>COUNTIF(January!1:1048576, "Polymyxins")</f>
        <v>0</v>
      </c>
      <c r="Y65" s="21">
        <f>COUNTIF(January!1:1048576, "Polypeptides")</f>
        <v>0</v>
      </c>
      <c r="Z65" s="21">
        <f>COUNTIF(January!1:1048576, "Rifampin")</f>
        <v>0</v>
      </c>
      <c r="AA65" s="21">
        <f>COUNTIF(January!1:1048576, "Sulfonamides")</f>
        <v>0</v>
      </c>
      <c r="AB65" s="21">
        <f>COUNTIF(January!1:1048576, "Tetracyclines")</f>
        <v>0</v>
      </c>
    </row>
    <row r="66" spans="1:29">
      <c r="A66" s="21" t="s">
        <v>28</v>
      </c>
      <c r="F66" s="21" t="s">
        <v>69</v>
      </c>
      <c r="G66" s="21">
        <f>COUNTIF(February!1:1048576, "Aminoglycosides")</f>
        <v>0</v>
      </c>
      <c r="H66" s="21">
        <f>COUNTIF(February!1:1048576, "B-lactam/B-lactamase inhibitor combination")</f>
        <v>0</v>
      </c>
      <c r="I66" s="21">
        <f>COUNTIF(February!1:1048576, "Carbapenems")</f>
        <v>0</v>
      </c>
      <c r="J66" s="21">
        <f>COUNTIF(February!1:1048576, "Cephalosporins")</f>
        <v>2</v>
      </c>
      <c r="K66" s="21">
        <f>COUNTIF(February!1:1048576, "Fluoroquinolones")</f>
        <v>1</v>
      </c>
      <c r="L66" s="21">
        <f>COUNTIF(February!1:1048576, "Fosfomycins")</f>
        <v>0</v>
      </c>
      <c r="M66" s="21">
        <f>COUNTIF(February!1:1048576, "Glycopeptides")</f>
        <v>0</v>
      </c>
      <c r="N66" s="21">
        <f>COUNTIF(February!1:1048576, "Glycylcyclines")</f>
        <v>0</v>
      </c>
      <c r="O66" s="21">
        <f>COUNTIF(February!1:1048576, "Lincosamides")</f>
        <v>1</v>
      </c>
      <c r="P66" s="21">
        <f>COUNTIF(February!1:1048576, "Macrolides")</f>
        <v>0</v>
      </c>
      <c r="Q66" s="21">
        <f>COUNTIF(February!1:1048576, "Nitrofurans")</f>
        <v>0</v>
      </c>
      <c r="R66" s="21">
        <f>COUNTIF(February!1:1048576, "Nitroimidazoles")</f>
        <v>1</v>
      </c>
      <c r="S66" s="21">
        <f>COUNTIF(February!1:1048576, "Ophthalmic")</f>
        <v>0</v>
      </c>
      <c r="T66" s="21">
        <f>COUNTIF(February!1:1048576, "Otic")</f>
        <v>1</v>
      </c>
      <c r="U66" s="21">
        <f>COUNTIF(February!1:1048576, "Oxazolidinones")</f>
        <v>0</v>
      </c>
      <c r="V66" s="21">
        <f>COUNTIF(February!1:1048576, "Penicillins")</f>
        <v>1</v>
      </c>
      <c r="W66" s="21">
        <f>COUNTIF(February!1:1048576, "Phenicols")</f>
        <v>0</v>
      </c>
      <c r="X66" s="21">
        <f>COUNTIF(February!1:1048576, "Polymyxins")</f>
        <v>0</v>
      </c>
      <c r="Y66" s="21">
        <f>COUNTIF(February!1:1048576, "Polypeptides")</f>
        <v>0</v>
      </c>
      <c r="Z66" s="21">
        <f>COUNTIF(February!1:1048576, "Rifampin")</f>
        <v>0</v>
      </c>
      <c r="AA66" s="21">
        <f>COUNTIF(February!1:1048576, "Sulfonamides")</f>
        <v>0</v>
      </c>
      <c r="AB66" s="21">
        <f>COUNTIF(February!1:1048576, "Tetracyclines")</f>
        <v>1</v>
      </c>
    </row>
    <row r="67" spans="1:29">
      <c r="A67" s="21" t="s">
        <v>124</v>
      </c>
      <c r="F67" s="21" t="s">
        <v>70</v>
      </c>
      <c r="G67" s="21">
        <f>COUNTIF(March!1:1048576, "Aminoglycosides")</f>
        <v>0</v>
      </c>
      <c r="H67" s="21">
        <f>COUNTIF(March!1:1048576, "B-lactam/B-lactamase inhibitor combination")</f>
        <v>0</v>
      </c>
      <c r="I67" s="21">
        <f>COUNTIF(March!1:1048576, "Carbapenems")</f>
        <v>0</v>
      </c>
      <c r="J67" s="21">
        <f>COUNTIF(March!1:1048576, "Cephalosporins")</f>
        <v>2</v>
      </c>
      <c r="K67" s="21">
        <f>COUNTIF(March!1:1048576, "Fluoroquinolones")</f>
        <v>0</v>
      </c>
      <c r="L67" s="21">
        <f>COUNTIF(March!1:1048576, "Fosfomycins")</f>
        <v>0</v>
      </c>
      <c r="M67" s="21">
        <f>COUNTIF(March!1:1048576, "Glycopeptides")</f>
        <v>0</v>
      </c>
      <c r="N67" s="21">
        <f>COUNTIF(March!1:1048576, "Glycylcyclines")</f>
        <v>0</v>
      </c>
      <c r="O67" s="21">
        <f>COUNTIF(March!1:1048576, "Lincosamides")</f>
        <v>1</v>
      </c>
      <c r="P67" s="21">
        <f>COUNTIF(March!1:1048576, "Macrolides")</f>
        <v>0</v>
      </c>
      <c r="Q67" s="21">
        <f>COUNTIF(March!1:1048576, "Nitrofurans")</f>
        <v>0</v>
      </c>
      <c r="R67" s="21">
        <f>COUNTIF(March!1:1048576, "Nitroimidazoles")</f>
        <v>1</v>
      </c>
      <c r="S67" s="21">
        <f>COUNTIF(March!1:1048576, "Ophthalmic")</f>
        <v>1</v>
      </c>
      <c r="T67" s="21">
        <f>COUNTIF(March!1:1048576, "Otic")</f>
        <v>1</v>
      </c>
      <c r="U67" s="21">
        <f>COUNTIF(March!1:1048576, "Oxazolidinones")</f>
        <v>0</v>
      </c>
      <c r="V67" s="21">
        <f>COUNTIF(March!1:1048576, "Penicillins")</f>
        <v>1</v>
      </c>
      <c r="W67" s="21">
        <f>COUNTIF(March!1:1048576, "Phenicols")</f>
        <v>0</v>
      </c>
      <c r="X67" s="21">
        <f>COUNTIF(March!1:1048576, "Polymyxins")</f>
        <v>0</v>
      </c>
      <c r="Y67" s="21">
        <f>COUNTIF(March!1:1048576, "Polypeptides")</f>
        <v>0</v>
      </c>
      <c r="Z67" s="21">
        <f>COUNTIF(March!1:1048576, "Rifampin")</f>
        <v>0</v>
      </c>
      <c r="AA67" s="21">
        <f>COUNTIF(March!1:1048576, "Sulfonamides")</f>
        <v>0</v>
      </c>
      <c r="AB67" s="21">
        <f>COUNTIF(March!1:1048576, "Tetracyclines")</f>
        <v>2</v>
      </c>
    </row>
    <row r="68" spans="1:29">
      <c r="A68" s="21" t="s">
        <v>29</v>
      </c>
      <c r="F68" s="21" t="s">
        <v>71</v>
      </c>
      <c r="G68" s="21">
        <f>COUNTIF(April!1:1048576, "Aminoglycosides")</f>
        <v>0</v>
      </c>
      <c r="H68" s="21">
        <f>COUNTIF(April!1:1048576, "B-lactam/B-lactamase inhibitor combination")</f>
        <v>1</v>
      </c>
      <c r="I68" s="21">
        <f>COUNTIF(April!1:1048576, "Carbapenems")</f>
        <v>0</v>
      </c>
      <c r="J68" s="21">
        <f>COUNTIF(April!1:1048576, "Cephalosporins")</f>
        <v>1</v>
      </c>
      <c r="K68" s="21">
        <f>COUNTIF(April!1:1048576, "Fluoroquinolones")</f>
        <v>2</v>
      </c>
      <c r="L68" s="21">
        <f>COUNTIF(April!1:1048576, "Fosfomycins")</f>
        <v>0</v>
      </c>
      <c r="M68" s="21">
        <f>COUNTIF(April!1:1048576, "Glycopeptides")</f>
        <v>0</v>
      </c>
      <c r="N68" s="21">
        <f>COUNTIF(April!1:1048576, "Glycylcyclines")</f>
        <v>0</v>
      </c>
      <c r="O68" s="21">
        <f>COUNTIF(April!1:1048576, "Lincosamides")</f>
        <v>0</v>
      </c>
      <c r="P68" s="21">
        <f>COUNTIF(April!1:1048576, "Macrolides")</f>
        <v>0</v>
      </c>
      <c r="Q68" s="21">
        <f>COUNTIF(April!1:1048576, "Nitrofurans")</f>
        <v>0</v>
      </c>
      <c r="R68" s="21">
        <f>COUNTIF(April!1:1048576, "Nitroimidazoles")</f>
        <v>0</v>
      </c>
      <c r="S68" s="21">
        <f>COUNTIF(April!1:1048576, "Ophthalmic")</f>
        <v>1</v>
      </c>
      <c r="T68" s="21">
        <f>COUNTIF(April!1:1048576, "Otic")</f>
        <v>2</v>
      </c>
      <c r="U68" s="21">
        <f>COUNTIF(April!1:1048576, "Oxazolidinones")</f>
        <v>0</v>
      </c>
      <c r="V68" s="21">
        <f>COUNTIF(April!1:1048576, "Penicillins")</f>
        <v>1</v>
      </c>
      <c r="W68" s="21">
        <f>COUNTIF(April!1:1048576, "Phenicols")</f>
        <v>0</v>
      </c>
      <c r="X68" s="21">
        <f>COUNTIF(April!1:1048576, "Polymyxins")</f>
        <v>0</v>
      </c>
      <c r="Y68" s="21">
        <f>COUNTIF(April!1:1048576, "Polypeptides")</f>
        <v>0</v>
      </c>
      <c r="Z68" s="21">
        <f>COUNTIF(April!1:1048576, "Rifampin")</f>
        <v>0</v>
      </c>
      <c r="AA68" s="21">
        <f>COUNTIF(April!1:1048576, "Sulfonamides")</f>
        <v>0</v>
      </c>
      <c r="AB68" s="21">
        <f>COUNTIF(April!1:1048576, "Tetracyclines")</f>
        <v>0</v>
      </c>
    </row>
    <row r="69" spans="1:29">
      <c r="A69" s="21" t="s">
        <v>30</v>
      </c>
      <c r="F69" s="21" t="s">
        <v>72</v>
      </c>
      <c r="G69" s="21">
        <f>COUNTIF(May!1:1048576, "Aminoglycosides")</f>
        <v>0</v>
      </c>
      <c r="H69" s="21">
        <f>COUNTIF(May!1:1048576, "B-lactam/B-lactamase inhibitor combination")</f>
        <v>0</v>
      </c>
      <c r="I69" s="21">
        <f>COUNTIF(May!1:1048576, "Carbapenems")</f>
        <v>0</v>
      </c>
      <c r="J69" s="21">
        <f>COUNTIF(May!1:1048576, "Cephalosporins")</f>
        <v>1</v>
      </c>
      <c r="K69" s="21">
        <f>COUNTIF(May!1:1048576, "Fluoroquinolones")</f>
        <v>0</v>
      </c>
      <c r="L69" s="21">
        <f>COUNTIF(May!1:1048576, "Fosfomycins")</f>
        <v>0</v>
      </c>
      <c r="M69" s="21">
        <f>COUNTIF(May!1:1048576, "Glycopeptides")</f>
        <v>0</v>
      </c>
      <c r="N69" s="21">
        <f>COUNTIF(May!1:1048576, "Glycylcyclines")</f>
        <v>0</v>
      </c>
      <c r="O69" s="21">
        <f>COUNTIF(May!1:1048576, "Lincosamides")</f>
        <v>1</v>
      </c>
      <c r="P69" s="21">
        <f>COUNTIF(May!1:1048576, "Macrolides")</f>
        <v>0</v>
      </c>
      <c r="Q69" s="21">
        <f>COUNTIF(May!1:1048576, "Nitrofurans")</f>
        <v>0</v>
      </c>
      <c r="R69" s="21">
        <f>COUNTIF(May!1:1048576, "Nitroimidazoles")</f>
        <v>0</v>
      </c>
      <c r="S69" s="21">
        <f>COUNTIF(May!1:1048576, "Ophthalmic")</f>
        <v>1</v>
      </c>
      <c r="T69" s="21">
        <f>COUNTIF(May!1:1048576, "Otic")</f>
        <v>1</v>
      </c>
      <c r="U69" s="21">
        <f>COUNTIF(May!1:1048576, "Oxazolidinones")</f>
        <v>0</v>
      </c>
      <c r="V69" s="21">
        <f>COUNTIF(May!1:1048576, "Penicillins")</f>
        <v>2</v>
      </c>
      <c r="W69" s="21">
        <f>COUNTIF(May!1:1048576, "Phenicols")</f>
        <v>0</v>
      </c>
      <c r="X69" s="21">
        <f>COUNTIF(May!1:1048576, "Polymyxins")</f>
        <v>0</v>
      </c>
      <c r="Y69" s="21">
        <f>COUNTIF(May!1:1048576, "Polypeptides")</f>
        <v>0</v>
      </c>
      <c r="Z69" s="21">
        <f>COUNTIF(May!1:1048576, "Rifampin")</f>
        <v>0</v>
      </c>
      <c r="AA69" s="21">
        <f>COUNTIF(May!1:1048576, "Sulfonamides")</f>
        <v>0</v>
      </c>
      <c r="AB69" s="21">
        <f>COUNTIF(May!1:1048576, "Tetracyclines")</f>
        <v>2</v>
      </c>
    </row>
    <row r="70" spans="1:29">
      <c r="A70" s="21" t="s">
        <v>31</v>
      </c>
      <c r="F70" s="21" t="s">
        <v>73</v>
      </c>
      <c r="G70" s="21">
        <f>COUNTIF(June!1:1048576, "Aminoglycosides")</f>
        <v>0</v>
      </c>
      <c r="H70" s="21">
        <f>COUNTIF(June!1:1048576, "B-lactam/B-lactamase inhibitor combination")</f>
        <v>1</v>
      </c>
      <c r="I70" s="21">
        <f>COUNTIF(June!1:1048576, "Carbapenems")</f>
        <v>0</v>
      </c>
      <c r="J70" s="21">
        <f>COUNTIF(June!1:1048576, "Cephalosporins")</f>
        <v>1</v>
      </c>
      <c r="K70" s="21">
        <f>COUNTIF(June!1:1048576, "Fluoroquinolones")</f>
        <v>1</v>
      </c>
      <c r="L70" s="21">
        <f>COUNTIF(June!1:1048576, "Fosfomycins")</f>
        <v>0</v>
      </c>
      <c r="M70" s="21">
        <f>COUNTIF(June!1:1048576, "Glycopeptides")</f>
        <v>0</v>
      </c>
      <c r="N70" s="21">
        <f>COUNTIF(June!1:1048576, "Glycylcyclines")</f>
        <v>0</v>
      </c>
      <c r="O70" s="21">
        <f>COUNTIF(June!1:1048576, "Lincosamides")</f>
        <v>0</v>
      </c>
      <c r="P70" s="21">
        <f>COUNTIF(June!1:1048576, "Macrolides")</f>
        <v>0</v>
      </c>
      <c r="Q70" s="21">
        <f>COUNTIF(June!1:1048576, "Nitrofurans")</f>
        <v>0</v>
      </c>
      <c r="R70" s="21">
        <f>COUNTIF(June!1:1048576, "Nitroimidazoles")</f>
        <v>0</v>
      </c>
      <c r="S70" s="21">
        <f>COUNTIF(June!1:1048576, "Ophthalmic")</f>
        <v>0</v>
      </c>
      <c r="T70" s="21">
        <f>COUNTIF(June!1:1048576, "Otic")</f>
        <v>0</v>
      </c>
      <c r="U70" s="21">
        <f>COUNTIF(June!1:1048576, "Oxazolidinones")</f>
        <v>0</v>
      </c>
      <c r="V70" s="21">
        <f>COUNTIF(June!1:1048576, "Penicillins")</f>
        <v>1</v>
      </c>
      <c r="W70" s="21">
        <f>COUNTIF(June!1:1048576, "Phenicols")</f>
        <v>0</v>
      </c>
      <c r="X70" s="21">
        <f>COUNTIF(June!1:1048576, "Polymyxins")</f>
        <v>0</v>
      </c>
      <c r="Y70" s="21">
        <f>COUNTIF(June!1:1048576, "Polypeptides")</f>
        <v>0</v>
      </c>
      <c r="Z70" s="21">
        <f>COUNTIF(June!1:1048576, "Rifampin")</f>
        <v>0</v>
      </c>
      <c r="AA70" s="21">
        <f>COUNTIF(June!1:1048576, "Sulfonamides")</f>
        <v>0</v>
      </c>
      <c r="AB70" s="21">
        <f>COUNTIF(June!1:1048576, "Tetracyclines")</f>
        <v>1</v>
      </c>
    </row>
    <row r="71" spans="1:29">
      <c r="A71" s="21" t="s">
        <v>32</v>
      </c>
      <c r="F71" s="21" t="s">
        <v>74</v>
      </c>
      <c r="G71" s="21">
        <f>COUNTIF(July!1:1048576, "Aminoglycosides")</f>
        <v>0</v>
      </c>
      <c r="H71" s="21">
        <f>COUNTIF(July!1:1048576, "B-lactam/B-lactamase inhibitor combination")</f>
        <v>0</v>
      </c>
      <c r="I71" s="21">
        <f>COUNTIF(July!1:1048576, "Carbapenems")</f>
        <v>0</v>
      </c>
      <c r="J71" s="21">
        <f>COUNTIF(July!1:1048576, "Cephalosporins")</f>
        <v>2</v>
      </c>
      <c r="K71" s="21">
        <f>COUNTIF(July!1:1048576, "Fluoroquinolones")</f>
        <v>0</v>
      </c>
      <c r="L71" s="21">
        <f>COUNTIF(July!1:1048576, "Fosfomycins")</f>
        <v>0</v>
      </c>
      <c r="M71" s="21">
        <f>COUNTIF(July!1:1048576, "Glycopeptides")</f>
        <v>0</v>
      </c>
      <c r="N71" s="21">
        <f>COUNTIF(July!1:1048576, "Glycylcyclines")</f>
        <v>0</v>
      </c>
      <c r="O71" s="21">
        <f>COUNTIF(July!1:1048576, "Lincosamides")</f>
        <v>1</v>
      </c>
      <c r="P71" s="21">
        <f>COUNTIF(July!1:1048576, "Macrolides")</f>
        <v>0</v>
      </c>
      <c r="Q71" s="21">
        <f>COUNTIF(July!1:1048576, "Nitrofurans")</f>
        <v>0</v>
      </c>
      <c r="R71" s="21">
        <f>COUNTIF(July!1:1048576, "Nitroimidazoles")</f>
        <v>1</v>
      </c>
      <c r="S71" s="21">
        <f>COUNTIF(July!1:1048576, "Ophthalmic")</f>
        <v>0</v>
      </c>
      <c r="T71" s="21">
        <f>COUNTIF(July!1:1048576, "Otic")</f>
        <v>1</v>
      </c>
      <c r="U71" s="21">
        <f>COUNTIF(July!1:1048576, "Oxazolidinones")</f>
        <v>0</v>
      </c>
      <c r="V71" s="21">
        <f>COUNTIF(July!1:1048576, "Penicillins")</f>
        <v>1</v>
      </c>
      <c r="W71" s="21">
        <f>COUNTIF(July!1:1048576, "Phenicols")</f>
        <v>0</v>
      </c>
      <c r="X71" s="21">
        <f>COUNTIF(July!1:1048576, "Polymyxins")</f>
        <v>0</v>
      </c>
      <c r="Y71" s="21">
        <f>COUNTIF(July!1:1048576, "Polypeptides")</f>
        <v>0</v>
      </c>
      <c r="Z71" s="21">
        <f>COUNTIF(July!1:1048576, "Rifampin")</f>
        <v>0</v>
      </c>
      <c r="AA71" s="21">
        <f>COUNTIF(July!1:1048576, "Sulfonamides")</f>
        <v>0</v>
      </c>
      <c r="AB71" s="21">
        <f>COUNTIF(July!1:1048576, "Tetracyclines")</f>
        <v>0</v>
      </c>
    </row>
    <row r="72" spans="1:29">
      <c r="A72" s="21" t="s">
        <v>241</v>
      </c>
      <c r="F72" s="21" t="s">
        <v>75</v>
      </c>
      <c r="G72" s="21">
        <f>COUNTIF(August!1:1048576, "Aminoglycosides")</f>
        <v>0</v>
      </c>
      <c r="H72" s="21">
        <f>COUNTIF(August!1:1048576, "B-lactam/B-lactamase inhibitor combination")</f>
        <v>0</v>
      </c>
      <c r="I72" s="21">
        <f>COUNTIF(August!1:1048576, "Carbapenems")</f>
        <v>0</v>
      </c>
      <c r="J72" s="21">
        <f>COUNTIF(August!1:1048576, "Cephalosporins")</f>
        <v>0</v>
      </c>
      <c r="K72" s="21">
        <f>COUNTIF(August!1:1048576, "Fluoroquinolones")</f>
        <v>0</v>
      </c>
      <c r="L72" s="21">
        <f>COUNTIF(August!1:1048576, "Fosfomycins")</f>
        <v>0</v>
      </c>
      <c r="M72" s="21">
        <f>COUNTIF(August!1:1048576, "Glycopeptides")</f>
        <v>0</v>
      </c>
      <c r="N72" s="21">
        <f>COUNTIF(August!1:1048576, "Glycylcyclines")</f>
        <v>0</v>
      </c>
      <c r="O72" s="21">
        <f>COUNTIF(August!1:1048576, "Lincosamides")</f>
        <v>0</v>
      </c>
      <c r="P72" s="21">
        <f>COUNTIF(August!1:1048576, "Macrolides")</f>
        <v>0</v>
      </c>
      <c r="Q72" s="21">
        <f>COUNTIF(August!1:1048576, "Nitrofurans")</f>
        <v>0</v>
      </c>
      <c r="R72" s="21">
        <f>COUNTIF(August!1:1048576, "Nitroimidazoles")</f>
        <v>0</v>
      </c>
      <c r="S72" s="21">
        <f>COUNTIF(August!1:1048576, "Ophthalmic")</f>
        <v>1</v>
      </c>
      <c r="T72" s="21">
        <f>COUNTIF(August!1:1048576, "Otic")</f>
        <v>0</v>
      </c>
      <c r="U72" s="21">
        <f>COUNTIF(August!1:1048576, "Oxazolidinones")</f>
        <v>0</v>
      </c>
      <c r="V72" s="21">
        <f>COUNTIF(August!1:1048576, "Penicillins")</f>
        <v>0</v>
      </c>
      <c r="W72" s="21">
        <f>COUNTIF(August!1:1048576, "Phenicols")</f>
        <v>0</v>
      </c>
      <c r="X72" s="21">
        <f>COUNTIF(August!1:1048576, "Polymyxins")</f>
        <v>0</v>
      </c>
      <c r="Y72" s="21">
        <f>COUNTIF(August!1:1048576, "Polypeptides")</f>
        <v>0</v>
      </c>
      <c r="Z72" s="21">
        <f>COUNTIF(August!1:1048576, "Rifampin")</f>
        <v>0</v>
      </c>
      <c r="AA72" s="21">
        <f>COUNTIF(August!1:1048576, "Sulfonamides")</f>
        <v>0</v>
      </c>
      <c r="AB72" s="21">
        <f>COUNTIF(August!1:1048576, "Tetracyclines")</f>
        <v>1</v>
      </c>
    </row>
    <row r="73" spans="1:29">
      <c r="A73" s="21" t="s">
        <v>242</v>
      </c>
      <c r="F73" s="21" t="s">
        <v>76</v>
      </c>
      <c r="G73" s="21">
        <f>COUNTIF(September!1:1048576, "Aminoglycosides")</f>
        <v>0</v>
      </c>
      <c r="H73" s="21">
        <f>COUNTIF(September!1:1048576, "B-lactam/B-lactamase inhibitor combination")</f>
        <v>0</v>
      </c>
      <c r="I73" s="21">
        <f>COUNTIF(September!1:1048576, "Carbapenems")</f>
        <v>0</v>
      </c>
      <c r="J73" s="21">
        <f>COUNTIF(September!1:1048576, "Cephalosporins")</f>
        <v>0</v>
      </c>
      <c r="K73" s="21">
        <f>COUNTIF(September!1:1048576, "Fluoroquinolones")</f>
        <v>0</v>
      </c>
      <c r="L73" s="21">
        <f>COUNTIF(September!1:1048576, "Fosfomycins")</f>
        <v>0</v>
      </c>
      <c r="M73" s="21">
        <f>COUNTIF(September!1:1048576, "Glycopeptides")</f>
        <v>0</v>
      </c>
      <c r="N73" s="21">
        <f>COUNTIF(September!1:1048576, "Glycylcyclines")</f>
        <v>0</v>
      </c>
      <c r="O73" s="21">
        <f>COUNTIF(September!1:1048576, "Lincosamides")</f>
        <v>0</v>
      </c>
      <c r="P73" s="21">
        <f>COUNTIF(September!1:1048576, "Macrolides")</f>
        <v>0</v>
      </c>
      <c r="Q73" s="21">
        <f>COUNTIF(September!1:1048576, "Nitrofurans")</f>
        <v>0</v>
      </c>
      <c r="R73" s="21">
        <f>COUNTIF(September!1:1048576, "Nitroimidazoles")</f>
        <v>1</v>
      </c>
      <c r="S73" s="21">
        <f>COUNTIF(September!1:1048576, "Ophthalmic")</f>
        <v>0</v>
      </c>
      <c r="T73" s="21">
        <f>COUNTIF(September!1:1048576, "Otic")</f>
        <v>1</v>
      </c>
      <c r="U73" s="21">
        <f>COUNTIF(September!1:1048576, "Oxazolidinones")</f>
        <v>0</v>
      </c>
      <c r="V73" s="21">
        <f>COUNTIF(September!1:1048576, "Penicillins")</f>
        <v>0</v>
      </c>
      <c r="W73" s="21">
        <f>COUNTIF(September!1:1048576, "Phenicols")</f>
        <v>0</v>
      </c>
      <c r="X73" s="21">
        <f>COUNTIF(September!1:1048576, "Polymyxins")</f>
        <v>0</v>
      </c>
      <c r="Y73" s="21">
        <f>COUNTIF(September!1:1048576, "Polypeptides")</f>
        <v>0</v>
      </c>
      <c r="Z73" s="21">
        <f>COUNTIF(September!1:1048576, "Rifampin")</f>
        <v>0</v>
      </c>
      <c r="AA73" s="21">
        <f>COUNTIF(September!1:1048576, "Sulfonamides")</f>
        <v>0</v>
      </c>
      <c r="AB73" s="21">
        <f>COUNTIF(September!1:1048576, "Tetracyclines")</f>
        <v>1</v>
      </c>
    </row>
    <row r="74" spans="1:29">
      <c r="A74" s="21" t="s">
        <v>33</v>
      </c>
      <c r="F74" s="21" t="s">
        <v>77</v>
      </c>
      <c r="G74" s="21">
        <f>COUNTIF(October!1:1048576, "Aminoglycosides")</f>
        <v>0</v>
      </c>
      <c r="H74" s="21">
        <f>COUNTIF(October!1:1048576, "B-lactam/B-lactamase inhibitor combination")</f>
        <v>1</v>
      </c>
      <c r="I74" s="21">
        <f>COUNTIF(October!1:1048576, "Carbapenems")</f>
        <v>0</v>
      </c>
      <c r="J74" s="21">
        <f>COUNTIF(October!1:1048576, "Cephalosporins")</f>
        <v>0</v>
      </c>
      <c r="K74" s="21">
        <f>COUNTIF(October!1:1048576, "Fluoroquinolones")</f>
        <v>0</v>
      </c>
      <c r="L74" s="21">
        <f>COUNTIF(October!1:1048576, "Fosfomycins")</f>
        <v>0</v>
      </c>
      <c r="M74" s="21">
        <f>COUNTIF(October!1:1048576, "Glycopeptides")</f>
        <v>0</v>
      </c>
      <c r="N74" s="21">
        <f>COUNTIF(October!1:1048576, "Glycylcyclines")</f>
        <v>0</v>
      </c>
      <c r="O74" s="21">
        <f>COUNTIF(October!1:1048576, "Lincosamides")</f>
        <v>0</v>
      </c>
      <c r="P74" s="21">
        <f>COUNTIF(October!1:1048576, "Macrolides")</f>
        <v>0</v>
      </c>
      <c r="Q74" s="21">
        <f>COUNTIF(October!1:1048576, "Nitrofurans")</f>
        <v>0</v>
      </c>
      <c r="R74" s="21">
        <f>COUNTIF(October!1:1048576, "Nitroimidazoles")</f>
        <v>0</v>
      </c>
      <c r="S74" s="21">
        <f>COUNTIF(October!1:1048576, "Ophthalmic")</f>
        <v>1</v>
      </c>
      <c r="T74" s="21">
        <f>COUNTIF(October!1:1048576, "Otic")</f>
        <v>0</v>
      </c>
      <c r="U74" s="21">
        <f>COUNTIF(October!1:1048576, "Oxazolidinones")</f>
        <v>0</v>
      </c>
      <c r="V74" s="21">
        <f>COUNTIF(October!1:1048576, "Penicillins")</f>
        <v>1</v>
      </c>
      <c r="W74" s="21">
        <f>COUNTIF(October!1:1048576, "Phenicols")</f>
        <v>0</v>
      </c>
      <c r="X74" s="21">
        <f>COUNTIF(October!1:1048576, "Polymyxins")</f>
        <v>0</v>
      </c>
      <c r="Y74" s="21">
        <f>COUNTIF(October!1:1048576, "Polypeptides")</f>
        <v>0</v>
      </c>
      <c r="Z74" s="21">
        <f>COUNTIF(October!1:1048576, "Rifampin")</f>
        <v>0</v>
      </c>
      <c r="AA74" s="21">
        <f>COUNTIF(October!1:1048576, "Sulfonamides")</f>
        <v>0</v>
      </c>
      <c r="AB74" s="21">
        <f>COUNTIF(October!1:1048576, "Tetracyclines")</f>
        <v>0</v>
      </c>
    </row>
    <row r="75" spans="1:29">
      <c r="A75" s="21" t="s">
        <v>127</v>
      </c>
      <c r="F75" s="21" t="s">
        <v>78</v>
      </c>
      <c r="G75" s="21">
        <f>COUNTIF(November!1:1048576, "Aminoglycosides")</f>
        <v>0</v>
      </c>
      <c r="H75" s="21">
        <f>COUNTIF(November!1:1048576, "B-lactam/B-lactamase inhibitor combination")</f>
        <v>0</v>
      </c>
      <c r="I75" s="21">
        <f>COUNTIF(November!1:1048576, "Carbapenems")</f>
        <v>0</v>
      </c>
      <c r="J75" s="21">
        <f>COUNTIF(November!1:1048576, "Cephalosporins")</f>
        <v>1</v>
      </c>
      <c r="K75" s="21">
        <f>COUNTIF(November!1:1048576, "Fluoroquinolones")</f>
        <v>0</v>
      </c>
      <c r="L75" s="21">
        <f>COUNTIF(November!1:1048576, "Fosfomycins")</f>
        <v>0</v>
      </c>
      <c r="M75" s="21">
        <f>COUNTIF(November!1:1048576, "Glycopeptides")</f>
        <v>0</v>
      </c>
      <c r="N75" s="21">
        <f>COUNTIF(November!1:1048576, "Glycylcyclines")</f>
        <v>0</v>
      </c>
      <c r="O75" s="37">
        <f>COUNTIF(November!1:1048576, "Lincosamides")</f>
        <v>0</v>
      </c>
      <c r="P75" s="21">
        <f>COUNTIF(November!1:1048576, "Macrolides")</f>
        <v>0</v>
      </c>
      <c r="Q75" s="21">
        <f>COUNTIF(November!1:1048576, "Nitrofurans")</f>
        <v>0</v>
      </c>
      <c r="R75" s="21">
        <f>COUNTIF(November!1:1048576, "Nitroimidazoles")</f>
        <v>0</v>
      </c>
      <c r="S75" s="21">
        <f>COUNTIF(November!1:1048576, "Ophthalmic")</f>
        <v>1</v>
      </c>
      <c r="T75" s="21">
        <f>COUNTIF(November!1:1048576, "Otic")</f>
        <v>1</v>
      </c>
      <c r="U75" s="21">
        <f>COUNTIF(November!1:1048576, "Oxazolidinones")</f>
        <v>0</v>
      </c>
      <c r="V75" s="21">
        <f>COUNTIF(November!1:1048576, "Penicillins")</f>
        <v>1</v>
      </c>
      <c r="W75" s="21">
        <f>COUNTIF(November!1:1048576, "Phenicols")</f>
        <v>0</v>
      </c>
      <c r="X75" s="21">
        <f>COUNTIF(November!1:1048576, "Polymyxins")</f>
        <v>0</v>
      </c>
      <c r="Y75" s="21">
        <f>COUNTIF(November!1:1048576, "Polypeptides")</f>
        <v>0</v>
      </c>
      <c r="Z75" s="21">
        <f>COUNTIF(November!1:1048576, "Rifampin")</f>
        <v>0</v>
      </c>
      <c r="AA75" s="21">
        <f>COUNTIF(November!1:1048576, "Sulfonamides")</f>
        <v>0</v>
      </c>
      <c r="AB75" s="21">
        <f>COUNTIF(November!1:1048576, "Tetracyclines")</f>
        <v>1</v>
      </c>
    </row>
    <row r="76" spans="1:29">
      <c r="A76" s="21" t="s">
        <v>128</v>
      </c>
      <c r="F76" s="21" t="s">
        <v>79</v>
      </c>
      <c r="G76" s="21">
        <f>COUNTIF(December!1:1048576, "Aminoglycosides")</f>
        <v>0</v>
      </c>
      <c r="H76" s="21">
        <f>COUNTIF(December!1:1048576, "B-lactam/B-lactamase inhibitor combination")</f>
        <v>0</v>
      </c>
      <c r="I76" s="21">
        <f>COUNTIF(December!1:1048576, "Carbapenems")</f>
        <v>0</v>
      </c>
      <c r="J76" s="21">
        <f>COUNTIF(December!1:1048576, "Cephalosporins")</f>
        <v>0</v>
      </c>
      <c r="K76" s="21">
        <f>COUNTIF(December!1:1048576, "Fluoroquinolones")</f>
        <v>0</v>
      </c>
      <c r="L76" s="21">
        <f>COUNTIF(December!1:1048576, "Fosfomycins")</f>
        <v>0</v>
      </c>
      <c r="M76" s="21">
        <f>COUNTIF(December!1:1048576, "Glycopeptides")</f>
        <v>0</v>
      </c>
      <c r="N76" s="21">
        <f>COUNTIF(December!1:1048576, "Glycylcyclines")</f>
        <v>0</v>
      </c>
      <c r="O76" s="21">
        <f>COUNTIF(December!1:1048576, "Lincosamides")</f>
        <v>0</v>
      </c>
      <c r="P76" s="21">
        <f>COUNTIF(December!1:1048576, "Macrolides")</f>
        <v>0</v>
      </c>
      <c r="Q76" s="21">
        <f>COUNTIF(December!1:1048576, "Nitrofurans")</f>
        <v>0</v>
      </c>
      <c r="R76" s="21">
        <f>COUNTIF(December!1:1048576, "Nitroimidazoles")</f>
        <v>1</v>
      </c>
      <c r="S76" s="21">
        <f>COUNTIF(December!1:1048576, "Ophthalmic")</f>
        <v>0</v>
      </c>
      <c r="T76" s="21">
        <f>COUNTIF(December!1:1048576, "Otic")</f>
        <v>1</v>
      </c>
      <c r="U76" s="21">
        <f>COUNTIF(December!1:1048576, "Oxazolidinones")</f>
        <v>0</v>
      </c>
      <c r="V76" s="21">
        <f>COUNTIF(December!1:1048576, "Penicillins")</f>
        <v>0</v>
      </c>
      <c r="W76" s="21">
        <f>COUNTIF(December!1:1048576, "Phenicols")</f>
        <v>0</v>
      </c>
      <c r="X76" s="21">
        <f>COUNTIF(December!1:1048576, "Polymyxins")</f>
        <v>0</v>
      </c>
      <c r="Y76" s="21">
        <f>COUNTIF(December!1:1048576, "Polypeptides")</f>
        <v>0</v>
      </c>
      <c r="Z76" s="21">
        <f>COUNTIF(December!1:1048576, "Rifampin")</f>
        <v>0</v>
      </c>
      <c r="AA76" s="21">
        <f>COUNTIF(December!1:1048576, "Sulfonamides")</f>
        <v>0</v>
      </c>
      <c r="AB76" s="21">
        <f>COUNTIF(December!1:1048576, "Tetracyclines")</f>
        <v>0</v>
      </c>
      <c r="AC76" s="21" t="s">
        <v>316</v>
      </c>
    </row>
    <row r="77" spans="1:29">
      <c r="A77" s="21" t="s">
        <v>34</v>
      </c>
      <c r="F77" s="21" t="s">
        <v>212</v>
      </c>
      <c r="G77" s="21">
        <f t="shared" ref="G77:AB77" si="2">SUM(G65:G76)</f>
        <v>0</v>
      </c>
      <c r="H77" s="21">
        <f t="shared" si="2"/>
        <v>3</v>
      </c>
      <c r="I77" s="21">
        <f t="shared" si="2"/>
        <v>0</v>
      </c>
      <c r="J77" s="21">
        <f t="shared" si="2"/>
        <v>11</v>
      </c>
      <c r="K77" s="21">
        <f t="shared" si="2"/>
        <v>5</v>
      </c>
      <c r="L77" s="21">
        <f t="shared" si="2"/>
        <v>0</v>
      </c>
      <c r="M77" s="21">
        <f t="shared" si="2"/>
        <v>0</v>
      </c>
      <c r="N77" s="21">
        <f t="shared" si="2"/>
        <v>0</v>
      </c>
      <c r="O77" s="21">
        <f t="shared" si="2"/>
        <v>4</v>
      </c>
      <c r="P77" s="21">
        <f t="shared" si="2"/>
        <v>0</v>
      </c>
      <c r="Q77" s="21">
        <f t="shared" si="2"/>
        <v>0</v>
      </c>
      <c r="R77" s="21">
        <f t="shared" si="2"/>
        <v>6</v>
      </c>
      <c r="S77" s="21">
        <f t="shared" si="2"/>
        <v>6</v>
      </c>
      <c r="T77" s="21">
        <f t="shared" si="2"/>
        <v>10</v>
      </c>
      <c r="U77" s="21">
        <f t="shared" si="2"/>
        <v>0</v>
      </c>
      <c r="V77" s="21">
        <f t="shared" si="2"/>
        <v>10</v>
      </c>
      <c r="W77" s="21">
        <f t="shared" si="2"/>
        <v>0</v>
      </c>
      <c r="X77" s="21">
        <f t="shared" si="2"/>
        <v>0</v>
      </c>
      <c r="Y77" s="21">
        <f t="shared" si="2"/>
        <v>0</v>
      </c>
      <c r="Z77" s="21">
        <f t="shared" si="2"/>
        <v>0</v>
      </c>
      <c r="AA77" s="21">
        <f t="shared" si="2"/>
        <v>0</v>
      </c>
      <c r="AB77" s="21">
        <f t="shared" si="2"/>
        <v>9</v>
      </c>
      <c r="AC77" s="21">
        <f>SUM(G77:AB77)</f>
        <v>64</v>
      </c>
    </row>
    <row r="78" spans="1:29">
      <c r="A78" s="21" t="s">
        <v>35</v>
      </c>
      <c r="G78" s="21" t="s">
        <v>52</v>
      </c>
      <c r="H78" s="21" t="s">
        <v>119</v>
      </c>
      <c r="I78" s="21" t="s">
        <v>257</v>
      </c>
      <c r="J78" s="21" t="s">
        <v>55</v>
      </c>
      <c r="K78" s="21" t="s">
        <v>57</v>
      </c>
      <c r="L78" s="21" t="s">
        <v>254</v>
      </c>
      <c r="M78" s="21" t="s">
        <v>60</v>
      </c>
      <c r="N78" s="21" t="s">
        <v>259</v>
      </c>
      <c r="O78" s="21" t="s">
        <v>58</v>
      </c>
      <c r="P78" s="21" t="s">
        <v>54</v>
      </c>
      <c r="Q78" s="21" t="s">
        <v>63</v>
      </c>
      <c r="R78" s="21" t="s">
        <v>62</v>
      </c>
      <c r="S78" s="21" t="s">
        <v>252</v>
      </c>
      <c r="T78" s="21" t="s">
        <v>238</v>
      </c>
      <c r="U78" s="21" t="s">
        <v>263</v>
      </c>
      <c r="V78" s="21" t="s">
        <v>53</v>
      </c>
      <c r="W78" s="21" t="s">
        <v>56</v>
      </c>
      <c r="X78" s="21" t="s">
        <v>59</v>
      </c>
      <c r="Y78" s="21" t="s">
        <v>125</v>
      </c>
      <c r="Z78" s="21" t="s">
        <v>48</v>
      </c>
      <c r="AA78" s="21" t="s">
        <v>140</v>
      </c>
      <c r="AB78" s="21" t="s">
        <v>61</v>
      </c>
      <c r="AC78" s="21" t="s">
        <v>316</v>
      </c>
    </row>
    <row r="79" spans="1:29">
      <c r="A79" s="21" t="s">
        <v>36</v>
      </c>
      <c r="F79" s="21" t="s">
        <v>270</v>
      </c>
      <c r="G79" s="21">
        <f>(G77/AC79)*100</f>
        <v>0</v>
      </c>
      <c r="H79" s="21">
        <f>(H77/AC79)*100</f>
        <v>4.6875</v>
      </c>
      <c r="I79" s="21">
        <f>(I77/AC79)*100</f>
        <v>0</v>
      </c>
      <c r="J79" s="21">
        <f>(J77/AC79)*100</f>
        <v>17.1875</v>
      </c>
      <c r="K79" s="21">
        <f>(K77/AC79)*100</f>
        <v>7.8125</v>
      </c>
      <c r="L79" s="21">
        <f>(L77/AC79)*100</f>
        <v>0</v>
      </c>
      <c r="M79" s="21">
        <f>(M77/AC79)*100</f>
        <v>0</v>
      </c>
      <c r="N79" s="21">
        <f>(N77/AC79)*100</f>
        <v>0</v>
      </c>
      <c r="O79" s="21">
        <f>(O77/AC79)*100</f>
        <v>6.25</v>
      </c>
      <c r="P79" s="21">
        <f>(P77/AC79)*100</f>
        <v>0</v>
      </c>
      <c r="Q79" s="21">
        <f>(Q77/AC79)*100</f>
        <v>0</v>
      </c>
      <c r="R79" s="21">
        <f>(R77/AC79)*100</f>
        <v>9.375</v>
      </c>
      <c r="S79" s="21">
        <f>(S77/AC79)*100</f>
        <v>9.375</v>
      </c>
      <c r="T79" s="21">
        <f>(T77/AC79)*100</f>
        <v>15.625</v>
      </c>
      <c r="U79" s="21">
        <f>(U77/AC79)*100</f>
        <v>0</v>
      </c>
      <c r="V79" s="21">
        <f>(V77/AC79)*100</f>
        <v>15.625</v>
      </c>
      <c r="W79" s="21">
        <f>(W77/AC79)*100</f>
        <v>0</v>
      </c>
      <c r="X79" s="21">
        <f>(X77/AC79)*100</f>
        <v>0</v>
      </c>
      <c r="Y79" s="21">
        <f>(Y77/AC79)*100</f>
        <v>0</v>
      </c>
      <c r="Z79" s="21">
        <f>(Z77/AC79)*100</f>
        <v>0</v>
      </c>
      <c r="AA79" s="21">
        <f>(AA77/AC79)*100</f>
        <v>0</v>
      </c>
      <c r="AB79" s="21">
        <f>(AB77/AC79)*100</f>
        <v>14.0625</v>
      </c>
      <c r="AC79" s="21">
        <f>SUM(G77:AB77)</f>
        <v>64</v>
      </c>
    </row>
    <row r="80" spans="1:29">
      <c r="A80" s="21" t="s">
        <v>129</v>
      </c>
    </row>
    <row r="81" spans="1:35">
      <c r="A81" s="21" t="s">
        <v>237</v>
      </c>
    </row>
    <row r="82" spans="1:35">
      <c r="A82" s="21" t="s">
        <v>37</v>
      </c>
    </row>
    <row r="83" spans="1:35">
      <c r="A83" s="21" t="s">
        <v>38</v>
      </c>
    </row>
    <row r="84" spans="1:35">
      <c r="A84" s="21" t="s">
        <v>265</v>
      </c>
    </row>
    <row r="85" spans="1:35">
      <c r="A85" s="21" t="s">
        <v>39</v>
      </c>
      <c r="T85" s="35" t="s">
        <v>272</v>
      </c>
      <c r="U85" s="21" t="s">
        <v>68</v>
      </c>
      <c r="V85" s="21" t="s">
        <v>69</v>
      </c>
      <c r="W85" s="21" t="s">
        <v>70</v>
      </c>
      <c r="X85" s="21" t="s">
        <v>71</v>
      </c>
      <c r="Y85" s="21" t="s">
        <v>72</v>
      </c>
      <c r="Z85" s="21" t="s">
        <v>73</v>
      </c>
      <c r="AA85" s="21" t="s">
        <v>74</v>
      </c>
      <c r="AB85" s="21" t="s">
        <v>75</v>
      </c>
      <c r="AC85" s="21" t="s">
        <v>76</v>
      </c>
      <c r="AD85" s="21" t="s">
        <v>77</v>
      </c>
      <c r="AE85" s="21" t="s">
        <v>78</v>
      </c>
      <c r="AF85" s="21" t="s">
        <v>79</v>
      </c>
      <c r="AG85" s="21" t="s">
        <v>273</v>
      </c>
      <c r="AH85" s="21" t="s">
        <v>274</v>
      </c>
    </row>
    <row r="86" spans="1:35">
      <c r="A86" s="21" t="s">
        <v>130</v>
      </c>
      <c r="S86" s="35"/>
      <c r="T86" s="38" t="s">
        <v>51</v>
      </c>
      <c r="U86" s="21">
        <f>COUNTIF(January!1:1048576, "Vancomycin")</f>
        <v>0</v>
      </c>
      <c r="V86" s="21">
        <f>COUNTIF(February!1:1048576, "Vancomycin")</f>
        <v>0</v>
      </c>
      <c r="W86" s="21">
        <f>COUNTIF(March!1:1048576, "Vancomycin")</f>
        <v>0</v>
      </c>
      <c r="X86" s="21">
        <f>COUNTIF(April!1:1048576, "Vancomycin")</f>
        <v>0</v>
      </c>
      <c r="Y86" s="21">
        <f>COUNTIF(May!1:1048576, "Vancomycin")</f>
        <v>0</v>
      </c>
      <c r="Z86" s="21">
        <f>COUNTIF(June!1:1048576, "Vancomycin")</f>
        <v>0</v>
      </c>
      <c r="AA86" s="21">
        <f>COUNTIF(July!1:1048576, "Vancomycin")</f>
        <v>0</v>
      </c>
      <c r="AB86" s="21">
        <f>COUNTIF(August!1:1048576, "Vancomycin")</f>
        <v>0</v>
      </c>
      <c r="AC86" s="21">
        <f>COUNTIF(September!1:1048576, "Vancomycin")</f>
        <v>0</v>
      </c>
      <c r="AD86" s="21">
        <f>COUNTIF(October!1:1048576, "Vancomycin")</f>
        <v>0</v>
      </c>
      <c r="AE86" s="21">
        <f>COUNTIF(November!1:1048576, "Vancomycin")</f>
        <v>0</v>
      </c>
      <c r="AF86" s="35">
        <f>COUNTIF(December!1:1048576, "Vancomycin")</f>
        <v>0</v>
      </c>
      <c r="AG86" s="39" t="s">
        <v>51</v>
      </c>
      <c r="AH86" s="21">
        <f>SUM(U86:AF86)</f>
        <v>0</v>
      </c>
      <c r="AI86" s="39"/>
    </row>
    <row r="87" spans="1:35">
      <c r="A87" s="21" t="s">
        <v>40</v>
      </c>
      <c r="T87" s="21" t="s">
        <v>261</v>
      </c>
      <c r="U87" s="21">
        <f>COUNTIF(January!1:1048576, "Linezolid")</f>
        <v>0</v>
      </c>
      <c r="V87" s="21">
        <f>COUNTIF(February!1:1048576, "Linezolid")</f>
        <v>0</v>
      </c>
      <c r="W87" s="21">
        <f>COUNTIF(March!1:1048576, "Linezolid")</f>
        <v>0</v>
      </c>
      <c r="X87" s="21">
        <f>COUNTIF(April!1:1048576, "Linezolid")</f>
        <v>0</v>
      </c>
      <c r="Y87" s="21">
        <f>COUNTIF(May!1:1048576, "Linezolid")</f>
        <v>0</v>
      </c>
      <c r="Z87" s="21">
        <f>COUNTIF(June!1:1048576, "Linezolid")</f>
        <v>0</v>
      </c>
      <c r="AA87" s="21">
        <f>COUNTIF(July!1:1048576, "Linezolid")</f>
        <v>0</v>
      </c>
      <c r="AB87" s="21">
        <f>COUNTIF(August!1:1048576, "Linezolid")</f>
        <v>0</v>
      </c>
      <c r="AC87" s="21">
        <f>COUNTIF(September!1:1048576, "Linezolid")</f>
        <v>0</v>
      </c>
      <c r="AD87" s="21">
        <f>COUNTIF(October!1:1048576, "Linezolid")</f>
        <v>0</v>
      </c>
      <c r="AE87" s="21">
        <f>COUNTIF(November!1:1048576, "Linezolid")</f>
        <v>0</v>
      </c>
      <c r="AF87" s="21">
        <f>COUNTIF(December!1:1048576, "Linezolid")</f>
        <v>0</v>
      </c>
      <c r="AG87" s="40" t="s">
        <v>261</v>
      </c>
      <c r="AH87" s="21">
        <f>SUM(U87:AF87)</f>
        <v>0</v>
      </c>
      <c r="AI87" s="40"/>
    </row>
    <row r="88" spans="1:35">
      <c r="A88" s="21" t="s">
        <v>225</v>
      </c>
      <c r="T88" s="21" t="s">
        <v>264</v>
      </c>
      <c r="U88" s="21">
        <f>COUNTIF(January!1:1048576, "Teicoplanin")</f>
        <v>0</v>
      </c>
      <c r="V88" s="21">
        <f>COUNTIF(February!1:1048576, "Teicoplanin")</f>
        <v>0</v>
      </c>
      <c r="W88" s="21">
        <f>COUNTIF(March!1:1048576, "Teicoplanin")</f>
        <v>0</v>
      </c>
      <c r="X88" s="21">
        <f>COUNTIF(April!1:1048576, "Teicoplanin")</f>
        <v>0</v>
      </c>
      <c r="Y88" s="21">
        <f>COUNTIF(May!1:1048576, "Teicoplanin")</f>
        <v>0</v>
      </c>
      <c r="Z88" s="21">
        <f>COUNTIF(June!1:1048576, "Teicoplanin")</f>
        <v>0</v>
      </c>
      <c r="AA88" s="21">
        <f>COUNTIF(July!1:1048576, "Teicoplanin")</f>
        <v>0</v>
      </c>
      <c r="AB88" s="21">
        <f>COUNTIF(August!1:1048576, "Teicoplanin")</f>
        <v>0</v>
      </c>
      <c r="AC88" s="21">
        <f>COUNTIF(September!1:1048576, "Teicoplanin")</f>
        <v>0</v>
      </c>
      <c r="AD88" s="21">
        <f>COUNTIF(October!1:1048576, "Teicoplanin")</f>
        <v>0</v>
      </c>
      <c r="AE88" s="21">
        <f>COUNTIF(November!1:1048576, "Teicoplanin")</f>
        <v>0</v>
      </c>
      <c r="AF88" s="21">
        <f>COUNTIF(December!1:1048576, "Teicoplanin")</f>
        <v>0</v>
      </c>
      <c r="AG88" s="40" t="s">
        <v>264</v>
      </c>
      <c r="AH88" s="21">
        <f>SUM(U88:AF88)</f>
        <v>0</v>
      </c>
      <c r="AI88" s="40"/>
    </row>
    <row r="89" spans="1:35">
      <c r="A89" s="21" t="s">
        <v>253</v>
      </c>
      <c r="T89" s="21" t="s">
        <v>265</v>
      </c>
      <c r="U89" s="21">
        <f>COUNTIF(January!1:1048576, "Colistin")</f>
        <v>0</v>
      </c>
      <c r="V89" s="21">
        <f>COUNTIF(February!1:1048576, "Colistin")</f>
        <v>0</v>
      </c>
      <c r="W89" s="21">
        <f>COUNTIF(March!1:1048576, "Colistin")</f>
        <v>0</v>
      </c>
      <c r="X89" s="21">
        <f>COUNTIF(April!1:1048576, "Colistin")</f>
        <v>0</v>
      </c>
      <c r="Y89" s="21">
        <f>COUNTIF(May!1:1048576, "Colistin")</f>
        <v>0</v>
      </c>
      <c r="Z89" s="21">
        <f>COUNTIF(June!1:1048576, "Colistin")</f>
        <v>0</v>
      </c>
      <c r="AA89" s="21">
        <f>COUNTIF(July!1:1048576, "Colistin")</f>
        <v>0</v>
      </c>
      <c r="AB89" s="21">
        <f>COUNTIF(August!1:1048576, "Colistin")</f>
        <v>0</v>
      </c>
      <c r="AC89" s="21">
        <f>COUNTIF(September!1:1048576, "Colistin")</f>
        <v>0</v>
      </c>
      <c r="AD89" s="21">
        <f>COUNTIF(October!1:1048576, "Colistin")</f>
        <v>0</v>
      </c>
      <c r="AE89" s="21">
        <f>COUNTIF(November!1:1048576, "Colistin")</f>
        <v>0</v>
      </c>
      <c r="AF89" s="21">
        <f>COUNTIF(December!1:1048576, "Colistin")</f>
        <v>0</v>
      </c>
      <c r="AG89" s="40" t="s">
        <v>265</v>
      </c>
      <c r="AH89" s="21">
        <f>SUM(U89:AF89)</f>
        <v>0</v>
      </c>
      <c r="AI89" s="40"/>
    </row>
    <row r="90" spans="1:35">
      <c r="A90" s="21" t="s">
        <v>41</v>
      </c>
      <c r="T90" s="21" t="s">
        <v>271</v>
      </c>
      <c r="U90" s="21">
        <f>COUNTIF(January!1:1048576, "Polymixin B")</f>
        <v>0</v>
      </c>
      <c r="V90" s="21">
        <f>COUNTIF(February!1:1048576, "Polymixin B")</f>
        <v>0</v>
      </c>
      <c r="W90" s="21">
        <f>COUNTIF(March!1:1048576, "Polymixin B")</f>
        <v>0</v>
      </c>
      <c r="X90" s="21">
        <f>COUNTIF(April!1:1048576, "Polymixin B")</f>
        <v>0</v>
      </c>
      <c r="Y90" s="21">
        <f>COUNTIF(May!1:1048576, "Polymixin B")</f>
        <v>0</v>
      </c>
      <c r="Z90" s="21">
        <f>COUNTIF(June!1:1048576, "Polymixin B")</f>
        <v>0</v>
      </c>
      <c r="AA90" s="21">
        <f>COUNTIF(July!1:1048576, "Polymixin B")</f>
        <v>0</v>
      </c>
      <c r="AB90" s="21">
        <f>COUNTIF(August!1:1048576, "Polymixin B")</f>
        <v>0</v>
      </c>
      <c r="AC90" s="21">
        <f>COUNTIF(September!1:1048576, "Polymixin B")</f>
        <v>0</v>
      </c>
      <c r="AD90" s="21">
        <f>COUNTIF(October!1:1048576, "Polymixin B")</f>
        <v>0</v>
      </c>
      <c r="AE90" s="21">
        <f>COUNTIF(November!1:1048576, "Polymixin B")</f>
        <v>0</v>
      </c>
      <c r="AF90" s="21">
        <f>COUNTIF(December!1:1048576, "Polymixin B")</f>
        <v>0</v>
      </c>
      <c r="AG90" s="40" t="s">
        <v>271</v>
      </c>
      <c r="AH90" s="21">
        <f>SUM(U90:AF90)</f>
        <v>0</v>
      </c>
      <c r="AI90" s="40"/>
    </row>
    <row r="91" spans="1:35">
      <c r="A91" s="21" t="s">
        <v>42</v>
      </c>
    </row>
    <row r="92" spans="1:35">
      <c r="A92" s="21" t="s">
        <v>131</v>
      </c>
    </row>
    <row r="93" spans="1:35">
      <c r="A93" s="21" t="s">
        <v>262</v>
      </c>
    </row>
    <row r="94" spans="1:35">
      <c r="A94" s="21" t="s">
        <v>243</v>
      </c>
    </row>
    <row r="95" spans="1:35">
      <c r="A95" s="21" t="s">
        <v>255</v>
      </c>
    </row>
    <row r="96" spans="1:35">
      <c r="A96" s="21" t="s">
        <v>43</v>
      </c>
    </row>
    <row r="97" spans="1:1">
      <c r="A97" s="21" t="s">
        <v>44</v>
      </c>
    </row>
    <row r="98" spans="1:1">
      <c r="A98" s="21" t="s">
        <v>249</v>
      </c>
    </row>
    <row r="99" spans="1:1">
      <c r="A99" s="21" t="s">
        <v>132</v>
      </c>
    </row>
    <row r="100" spans="1:1">
      <c r="A100" s="21" t="s">
        <v>45</v>
      </c>
    </row>
    <row r="101" spans="1:1">
      <c r="A101" s="21" t="s">
        <v>133</v>
      </c>
    </row>
    <row r="102" spans="1:1">
      <c r="A102" s="21" t="s">
        <v>251</v>
      </c>
    </row>
    <row r="103" spans="1:1">
      <c r="A103" s="21" t="s">
        <v>226</v>
      </c>
    </row>
    <row r="104" spans="1:1">
      <c r="A104" s="21" t="s">
        <v>227</v>
      </c>
    </row>
    <row r="105" spans="1:1">
      <c r="A105" s="21" t="s">
        <v>228</v>
      </c>
    </row>
    <row r="106" spans="1:1">
      <c r="A106" s="21" t="s">
        <v>229</v>
      </c>
    </row>
    <row r="107" spans="1:1">
      <c r="A107" s="21" t="s">
        <v>236</v>
      </c>
    </row>
    <row r="108" spans="1:1">
      <c r="A108" s="21" t="s">
        <v>230</v>
      </c>
    </row>
    <row r="109" spans="1:1">
      <c r="A109" s="21" t="s">
        <v>244</v>
      </c>
    </row>
    <row r="110" spans="1:1">
      <c r="A110" s="21" t="s">
        <v>134</v>
      </c>
    </row>
    <row r="111" spans="1:1">
      <c r="A111" s="21" t="s">
        <v>135</v>
      </c>
    </row>
    <row r="112" spans="1:1">
      <c r="A112" s="21" t="s">
        <v>46</v>
      </c>
    </row>
    <row r="113" spans="1:1">
      <c r="A113" s="21" t="s">
        <v>260</v>
      </c>
    </row>
    <row r="114" spans="1:1">
      <c r="A114" s="21" t="s">
        <v>47</v>
      </c>
    </row>
    <row r="115" spans="1:1">
      <c r="A115" s="21" t="s">
        <v>138</v>
      </c>
    </row>
    <row r="116" spans="1:1">
      <c r="A116" s="21" t="s">
        <v>48</v>
      </c>
    </row>
    <row r="117" spans="1:1">
      <c r="A117" s="21" t="s">
        <v>139</v>
      </c>
    </row>
    <row r="118" spans="1:1">
      <c r="A118" s="21" t="s">
        <v>141</v>
      </c>
    </row>
    <row r="119" spans="1:1">
      <c r="A119" s="21" t="s">
        <v>49</v>
      </c>
    </row>
    <row r="120" spans="1:1">
      <c r="A120" s="21" t="s">
        <v>143</v>
      </c>
    </row>
    <row r="121" spans="1:1">
      <c r="A121" s="21" t="s">
        <v>144</v>
      </c>
    </row>
    <row r="122" spans="1:1">
      <c r="A122" s="21" t="s">
        <v>145</v>
      </c>
    </row>
    <row r="123" spans="1:1">
      <c r="A123" s="21" t="s">
        <v>264</v>
      </c>
    </row>
    <row r="124" spans="1:1">
      <c r="A124" s="21" t="s">
        <v>50</v>
      </c>
    </row>
    <row r="125" spans="1:1">
      <c r="A125" s="21" t="s">
        <v>258</v>
      </c>
    </row>
    <row r="126" spans="1:1">
      <c r="A126" s="21" t="s">
        <v>146</v>
      </c>
    </row>
    <row r="127" spans="1:1">
      <c r="A127" s="21" t="s">
        <v>147</v>
      </c>
    </row>
    <row r="128" spans="1:1">
      <c r="A128" s="21" t="s">
        <v>148</v>
      </c>
    </row>
    <row r="129" spans="1:14">
      <c r="A129" s="21" t="s">
        <v>51</v>
      </c>
    </row>
    <row r="130" spans="1:14">
      <c r="A130" s="21" t="s">
        <v>21</v>
      </c>
    </row>
    <row r="135" spans="1:14">
      <c r="J135" s="21" t="s">
        <v>286</v>
      </c>
    </row>
    <row r="136" spans="1:14">
      <c r="K136" s="35" t="s">
        <v>287</v>
      </c>
      <c r="L136" s="35" t="s">
        <v>288</v>
      </c>
      <c r="M136" s="35" t="s">
        <v>289</v>
      </c>
      <c r="N136" s="35"/>
    </row>
    <row r="137" spans="1:14">
      <c r="C137" s="35" t="s">
        <v>281</v>
      </c>
      <c r="D137" s="35" t="s">
        <v>282</v>
      </c>
      <c r="E137" s="35" t="s">
        <v>283</v>
      </c>
      <c r="F137" s="35" t="s">
        <v>285</v>
      </c>
      <c r="J137" s="21" t="s">
        <v>68</v>
      </c>
      <c r="K137" s="21">
        <f>COUNTIF(January!1:1048576,"Penicillin")+COUNTIF(January!1:1048576, "Cefazolin")+COUNTIF(January!1:1048576, "Cephalexin")+COUNTIF(January!1:1048576, "Cefadroxil")</f>
        <v>1</v>
      </c>
      <c r="L137" s="21">
        <f>COUNTIF(January!1:1048576, "Amoxicillin")+COUNTIF(January!1:1048576, "Ampicillin")</f>
        <v>1</v>
      </c>
      <c r="M137" s="21">
        <f>COUNTIF(January!1:1048576, "Cefotaxime")+ COUNTIF(January!1:1048576, "Cefovecin (Convenia)")+COUNTIF(January!1:1048576, "Cefpodoxime Proxetil ")+COUNTIF(January!1:1048576, "Ceftazidime")+COUNTIF(January!1:1048576,"Ceftiofur sodium")+ COUNTIF(January!1:1048576, "Ceftriaxone")+COUNTIF(January!1:1048576, "Chloramphenicol")+COUNTIF(January!1:1048576, "Piperacillin/Tazobactam (Zosyn)")+COUNTIF(January!1:1048576, "Ceftiofur crystalline free acid (long acting formulation)")</f>
        <v>0</v>
      </c>
    </row>
    <row r="138" spans="1:14">
      <c r="C138" s="21" t="s">
        <v>284</v>
      </c>
      <c r="D138" s="21" t="s">
        <v>26</v>
      </c>
      <c r="E138" s="21" t="s">
        <v>32</v>
      </c>
      <c r="F138" s="21" t="s">
        <v>31</v>
      </c>
      <c r="J138" s="21" t="s">
        <v>69</v>
      </c>
      <c r="K138" s="21">
        <f>COUNTIF(February!1:1048576,"Penicillin")+COUNTIF(February!1:1048576, "Cefazolin")+COUNTIF(February!1:1048576, "Cephalexin")+COUNTIF(February!1:1048576, "Cefadroxil")</f>
        <v>1</v>
      </c>
      <c r="L138" s="21">
        <f>COUNTIF(February!1:1048576, "Amoxicillin")+COUNTIF(February!1:1048576, "Ampicillin")</f>
        <v>1</v>
      </c>
      <c r="M138" s="21">
        <f>COUNTIF(February!1:1048576, "Cefotaxime")+ COUNTIF(February!1:1048576, "Cefovecin (Convenia)")+COUNTIF(February!1:1048576, "Cefpodoxime Proxetil ")+COUNTIF(February!1:1048576, "Ceftazidime")+COUNTIF(February!1:1048576,"Ceftiofur sodium")+ COUNTIF(February!1:1048576, "Ceftriaxone")+COUNTIF(February!1:1048576, "Chloramphenicol")+COUNTIF(February!1:1048576, "Piperacillin/Tazobactam (Zosyn)")+COUNTIF(February!1:1048576, "Ceftiofur crystalline free acid (long acting formulation)")</f>
        <v>1</v>
      </c>
    </row>
    <row r="139" spans="1:14">
      <c r="C139" s="21" t="s">
        <v>30</v>
      </c>
      <c r="D139" s="21" t="s">
        <v>27</v>
      </c>
      <c r="E139" s="21" t="s">
        <v>241</v>
      </c>
      <c r="J139" s="21" t="s">
        <v>70</v>
      </c>
      <c r="K139" s="21">
        <f>COUNTIF(March!1:1048576,"Penicillin")+COUNTIF(March!1:1048576, "Cefazolin")+COUNTIF(March!1:1048576, "Cephalexin")+COUNTIF(March!1:1048576, "Cefadroxil")</f>
        <v>2</v>
      </c>
      <c r="L139" s="21">
        <f>COUNTIF(March!1:1048576, "Amoxicillin")+COUNTIF(March!1:1048576, "Ampicillin")</f>
        <v>1</v>
      </c>
      <c r="M139" s="21">
        <f>COUNTIF(March!1:1048576, "Cefotaxime")+ COUNTIF(March!1:1048576, "Cefovecin (Convenia)")+COUNTIF(March!1:1048576, "Cefpodoxime Proxetil ")+COUNTIF(March!1:1048576, "Ceftazidime")+COUNTIF(March!1:1048576,"Ceftiofur sodium")+ COUNTIF(March!1:1048576, "Ceftriaxone")+COUNTIF(March!1:1048576, "Chloramphenicol")+COUNTIF(March!1:1048576, "Piperacillin/Tazobactam (Zosyn)")+COUNTIF(March!1:1048576, "Ceftiofur crystalline free acid (long acting formulation)")</f>
        <v>0</v>
      </c>
    </row>
    <row r="140" spans="1:14">
      <c r="C140" s="21" t="s">
        <v>35</v>
      </c>
      <c r="E140" s="21" t="s">
        <v>242</v>
      </c>
      <c r="J140" s="21" t="s">
        <v>71</v>
      </c>
      <c r="K140" s="21">
        <f>COUNTIF(April!1:1048576,"Penicillin")+COUNTIF(April!1:1048576, "Cefazolin")+COUNTIF(April!1:1048576, "Cephalexin")+COUNTIF(April!1:1048576, "Cefadroxil")</f>
        <v>0</v>
      </c>
      <c r="L140" s="21">
        <f>COUNTIF(April!1:1048576, "Amoxicillin")+COUNTIF(April!1:1048576, "Ampicillin")</f>
        <v>1</v>
      </c>
      <c r="M140" s="21">
        <f>COUNTIF(April!1:1048576, "Cefotaxime")+ COUNTIF(April!1:1048576, "Cefovecin (Convenia)")+COUNTIF(April!1:1048576, "Cefpodoxime Proxetil ")+COUNTIF(April!1:1048576, "Ceftazidime")+COUNTIF(April!1:1048576,"Ceftiofur sodium")+ COUNTIF(April!1:1048576, "Ceftriaxone")+COUNTIF(April!1:1048576, "Chloramphenicol")+COUNTIF(April!1:1048576, "Piperacillin/Tazobactam (Zosyn)")+COUNTIF(April!1:1048576, "Ceftiofur crystalline free acid (long acting formulation)")</f>
        <v>1</v>
      </c>
    </row>
    <row r="141" spans="1:14">
      <c r="C141" s="21" t="s">
        <v>29</v>
      </c>
      <c r="E141" s="21" t="s">
        <v>33</v>
      </c>
      <c r="J141" s="21" t="s">
        <v>72</v>
      </c>
      <c r="K141" s="21">
        <f>COUNTIF(May!1:1048576,"Penicillin")+COUNTIF(May!1:1048576, "Cefazolin")+COUNTIF(May!1:1048576, "Cephalexin")+COUNTIF(May!1:1048576, "Cefadroxil")</f>
        <v>0</v>
      </c>
      <c r="L141" s="21">
        <f>COUNTIF(May!1:1048576, "Amoxicillin")+COUNTIF(May!1:1048576, "Ampicillin")</f>
        <v>2</v>
      </c>
      <c r="M141" s="21">
        <f>COUNTIF(May!1:1048576, "Cefotaxime")+ COUNTIF(May!1:1048576, "Cefovecin (Convenia)")+COUNTIF(May!1:1048576, "Cefpodoxime Proxetil ")+COUNTIF(May!1:1048576, "Ceftazidime")+COUNTIF(May!1:1048576,"Ceftiofur sodium")+ COUNTIF(May!1:1048576, "Ceftriaxone")+COUNTIF(May!1:1048576, "Chloramphenicol")+COUNTIF(May!1:1048576, "Piperacillin/Tazobactam (Zosyn)")+COUNTIF(May!1:1048576, "Ceftiofur crystalline free acid (long acting formulation)")</f>
        <v>1</v>
      </c>
    </row>
    <row r="142" spans="1:14">
      <c r="E142" s="21" t="s">
        <v>127</v>
      </c>
      <c r="J142" s="21" t="s">
        <v>73</v>
      </c>
      <c r="K142" s="21">
        <f>COUNTIF(June!1:1048576,"Penicillin")+COUNTIF(June!1:1048576, "Cefazolin")+COUNTIF(June!1:1048576, "Cephalexin")+COUNTIF(June!1:1048576, "Cefadroxil")</f>
        <v>1</v>
      </c>
      <c r="L142" s="21">
        <f>COUNTIF(June!1:1048576, "Amoxicillin")+COUNTIF(June!1:1048576, "Ampicillin")</f>
        <v>1</v>
      </c>
      <c r="M142" s="21">
        <f>COUNTIF(June!1:1048576, "Cefotaxime")+ COUNTIF(June!1:1048576, "Cefovecin (Convenia)")+COUNTIF(June!1:1048576, "Cefpodoxime Proxetil ")+COUNTIF(June!1:1048576, "Ceftazidime")+COUNTIF(June!1:1048576,"Ceftiofur sodium")+ COUNTIF(June!1:1048576, "Ceftriaxone")+COUNTIF(June!1:1048576, "Chloramphenicol")+COUNTIF(June!1:1048576, "Piperacillin/Tazobactam (Zosyn)")+COUNTIF(June!1:1048576, "Ceftiofur crystalline free acid (long acting formulation)")</f>
        <v>0</v>
      </c>
    </row>
    <row r="143" spans="1:14">
      <c r="E143" s="21" t="s">
        <v>128</v>
      </c>
      <c r="J143" s="21" t="s">
        <v>74</v>
      </c>
      <c r="K143" s="21">
        <f>COUNTIF(July!1:1048576,"Penicillin")+COUNTIF(July!1:1048576, "Cefazolin")+COUNTIF(July!1:1048576, "Cephalexin")+COUNTIF(July!1:1048576, "Cefadroxil")</f>
        <v>2</v>
      </c>
      <c r="L143" s="21">
        <f>COUNTIF(July!1:1048576, "Amoxicillin")+COUNTIF(July!1:1048576, "Ampicillin")</f>
        <v>1</v>
      </c>
      <c r="M143" s="21">
        <f>COUNTIF(July!1:1048576, "Cefotaxime")+ COUNTIF(July!1:1048576, "Cefovecin (Convenia)")+COUNTIF(July!1:1048576, "Cefpodoxime Proxetil ")+COUNTIF(July!1:1048576, "Ceftazidime")+COUNTIF(July!1:1048576,"Ceftiofur sodium")+ COUNTIF(July!1:1048576, "Ceftriaxone")+COUNTIF(July!1:1048576, "Chloramphenicol")+COUNTIF(July!1:1048576, "Piperacillin/Tazobactam (Zosyn)")+COUNTIF(July!1:1048576, "Ceftiofur crystalline free acid (long acting formulation)")</f>
        <v>0</v>
      </c>
    </row>
    <row r="144" spans="1:14">
      <c r="E144" s="21" t="s">
        <v>34</v>
      </c>
      <c r="J144" s="21" t="s">
        <v>75</v>
      </c>
      <c r="K144" s="21">
        <f>COUNTIF(August!1:1048576,"Penicillin")+COUNTIF(August!1:1048576, "Cefazolin")+COUNTIF(August!1:1048576, "Cephalexin")+COUNTIF(August!1:1048576, "Cefadroxil")</f>
        <v>0</v>
      </c>
      <c r="L144" s="21">
        <f>COUNTIF(August!1:1048576, "Amoxicillin")+COUNTIF(August!1:1048576, "Ampicillin")</f>
        <v>0</v>
      </c>
      <c r="M144" s="21">
        <f>COUNTIF(August!1:1048576, "Cefotaxime")+ COUNTIF(August!1:1048576, "Cefovecin (Convenia)")+COUNTIF(August!1:1048576, "Cefpodoxime Proxetil ")+COUNTIF(August!1:1048576, "Ceftazidime")+COUNTIF(August!1:1048576,"Ceftiofur sodium")+ COUNTIF(August!1:1048576, "Ceftriaxone")+COUNTIF(August!1:1048576, "Chloramphenicol")+COUNTIF(August!1:1048576, "Piperacillin/Tazobactam (Zosyn)")+COUNTIF(August!1:1048576, "Ceftiofur crystalline free acid (long acting formulation)")</f>
        <v>0</v>
      </c>
    </row>
    <row r="145" spans="1:15">
      <c r="E145" s="21" t="s">
        <v>36</v>
      </c>
      <c r="J145" s="21" t="s">
        <v>76</v>
      </c>
      <c r="K145" s="21">
        <f>COUNTIF(September!1:1048576,"Penicillin")+COUNTIF(September!1:1048576, "Cefazolin")+COUNTIF(September!1:1048576, "Cephalexin")+COUNTIF(September!1:1048576, "Cefadroxil")</f>
        <v>0</v>
      </c>
      <c r="L145" s="21">
        <f>COUNTIF(September!1:1048576, "Amoxicillin")+COUNTIF(September!1:1048576, "Ampicillin")</f>
        <v>0</v>
      </c>
      <c r="M145" s="21">
        <f>COUNTIF(September!1:1048576, "Cefotaxime")+ COUNTIF(September!1:1048576, "Cefovecin (Convenia)")+COUNTIF(September!1:1048576, "Cefpodoxime Proxetil ")+COUNTIF(September!1:1048576, "Ceftazidime")+COUNTIF(September!1:1048576,"Ceftiofur sodium")+ COUNTIF(September!1:1048576, "Ceftriaxone")+COUNTIF(September!1:1048576, "Chloramphenicol")+COUNTIF(September!1:1048576, "Piperacillin/Tazobactam (Zosyn)")+COUNTIF(September!1:1048576, "Ceftiofur crystalline free acid (long acting formulation)")</f>
        <v>0</v>
      </c>
    </row>
    <row r="146" spans="1:15">
      <c r="E146" s="21" t="s">
        <v>260</v>
      </c>
      <c r="J146" s="21" t="s">
        <v>77</v>
      </c>
      <c r="K146" s="21">
        <f>COUNTIF(October!1:1048576,"Penicillin")+COUNTIF(October!1:1048576, "Cefazolin")+COUNTIF(October!1:1048576, "Cephalexin")+COUNTIF(October!1:1048576, "Cefadroxil")</f>
        <v>0</v>
      </c>
      <c r="L146" s="21">
        <f>COUNTIF(October!1:1048576, "Amoxicillin")+COUNTIF(October!1:1048576, "Ampicillin")</f>
        <v>1</v>
      </c>
      <c r="M146" s="21">
        <f>COUNTIF(October!1:1048576, "Cefotaxime")+ COUNTIF(October!1:1048576, "Cefovecin (Convenia)")+COUNTIF(October!1:1048576, "Cefpodoxime Proxetil ")+COUNTIF(October!1:1048576, "Ceftazidime")+COUNTIF(October!1:1048576,"Ceftiofur sodium")+ COUNTIF(October!1:1048576, "Ceftriaxone")+COUNTIF(October!1:1048576, "Chloramphenicol")+COUNTIF(October!1:1048576, "Piperacillin/Tazobactam (Zosyn)")+COUNTIF(October!1:1048576, "Ceftiofur crystalline free acid (long acting formulation)")</f>
        <v>0</v>
      </c>
    </row>
    <row r="147" spans="1:15">
      <c r="J147" s="21" t="s">
        <v>78</v>
      </c>
      <c r="K147" s="21">
        <f>COUNTIF(November!1:1048576,"Penicillin")+COUNTIF(November!1:1048576, "Cefazolin")+COUNTIF(November!1:1048576, "Cephalexin")+COUNTIF(November!1:1048576, "Cefadroxil")</f>
        <v>1</v>
      </c>
      <c r="L147" s="21">
        <f>COUNTIF(November!1:1048576, "Amoxicillin")+COUNTIF(November!1:1048576, "Ampicillin")</f>
        <v>1</v>
      </c>
      <c r="M147" s="21">
        <f>COUNTIF(November!1:1048576, "Cefotaxime")+ COUNTIF(November!1:1048576, "Cefovecin (Convenia)")+COUNTIF(November!1:1048576, "Cefpodoxime Proxetil ")+COUNTIF(November!1:1048576, "Ceftazidime")+COUNTIF(November!1:1048576,"Ceftiofur sodium")+ COUNTIF(November!1:1048576, "Ceftriaxone")+COUNTIF(November!1:1048576, "Chloramphenicol")+COUNTIF(November!1:1048576, "Piperacillin/Tazobactam (Zosyn)")+COUNTIF(November!1:1048576, "Ceftiofur crystalline free acid (long acting formulation)")</f>
        <v>0</v>
      </c>
    </row>
    <row r="148" spans="1:15">
      <c r="J148" s="21" t="s">
        <v>79</v>
      </c>
      <c r="K148" s="21">
        <f>COUNTIF(December!1:1048576,"Penicillin")+COUNTIF(December!1:1048576, "Cefazolin")+COUNTIF(December!1:1048576, "Cephalexin")+COUNTIF(December!1:1048576, "Cefadroxil")</f>
        <v>0</v>
      </c>
      <c r="L148" s="21">
        <f>COUNTIF(December!1:1048576, "Amoxicillin")+COUNTIF(December!1:1048576, "Ampicillin")</f>
        <v>0</v>
      </c>
      <c r="M148" s="21">
        <f>COUNTIF(December!1:1048576, "Cefotaxime")+ COUNTIF(December!1:1048576, "Cefovecin (Convenia)")+COUNTIF(December!1:1048576, "Cefpodoxime Proxetil ")+COUNTIF(December!1:1048576, "Ceftazidime")+COUNTIF(December!1:1048576,"Ceftiofur sodium")+ COUNTIF(December!1:1048576, "Ceftriaxone")+COUNTIF(December!1:1048576, "Chloramphenicol")+COUNTIF(December!1:1048576, "Piperacillin/Tazobactam (Zosyn)")+COUNTIF(December!1:1048576, "Ceftiofur crystalline free acid (long acting formulation)")</f>
        <v>0</v>
      </c>
    </row>
    <row r="149" spans="1:15">
      <c r="K149" s="35" t="s">
        <v>287</v>
      </c>
      <c r="L149" s="35" t="s">
        <v>288</v>
      </c>
      <c r="M149" s="35" t="s">
        <v>289</v>
      </c>
    </row>
    <row r="150" spans="1:15">
      <c r="J150" s="35" t="s">
        <v>212</v>
      </c>
      <c r="K150" s="21">
        <f>SUM(K137:K148)</f>
        <v>8</v>
      </c>
      <c r="L150" s="21">
        <f>SUM(L137:L148)</f>
        <v>10</v>
      </c>
      <c r="M150" s="21">
        <f>SUM(M137:M148)</f>
        <v>3</v>
      </c>
    </row>
    <row r="151" spans="1:15">
      <c r="K151" s="35"/>
      <c r="L151" s="35"/>
      <c r="M151" s="35"/>
      <c r="N151" s="35"/>
    </row>
    <row r="153" spans="1:15">
      <c r="A153" s="21" t="s">
        <v>293</v>
      </c>
      <c r="B153" s="21" t="s">
        <v>68</v>
      </c>
      <c r="C153" s="21" t="s">
        <v>69</v>
      </c>
      <c r="D153" s="21" t="s">
        <v>70</v>
      </c>
      <c r="E153" s="21" t="s">
        <v>71</v>
      </c>
      <c r="F153" s="21" t="s">
        <v>72</v>
      </c>
      <c r="G153" s="21" t="s">
        <v>73</v>
      </c>
      <c r="H153" s="21" t="s">
        <v>74</v>
      </c>
      <c r="I153" s="21" t="s">
        <v>75</v>
      </c>
      <c r="J153" s="21" t="s">
        <v>76</v>
      </c>
      <c r="K153" s="21" t="s">
        <v>77</v>
      </c>
      <c r="L153" s="21" t="s">
        <v>78</v>
      </c>
      <c r="M153" s="21" t="s">
        <v>79</v>
      </c>
      <c r="N153" s="21" t="s">
        <v>212</v>
      </c>
    </row>
    <row r="154" spans="1:15">
      <c r="A154" s="21" t="s">
        <v>12</v>
      </c>
      <c r="B154" s="21">
        <f>COUNTIF(January[Patient Species], "Canine")</f>
        <v>7</v>
      </c>
      <c r="C154" s="21">
        <f>COUNTIF(February[Patient Species], "Canine")</f>
        <v>6</v>
      </c>
      <c r="D154" s="21">
        <f>COUNTIF(March[Patient Species], "Canine")</f>
        <v>6</v>
      </c>
      <c r="E154" s="21">
        <f>COUNTIF(April[Patient Species], "Canine")</f>
        <v>6</v>
      </c>
      <c r="F154" s="21">
        <f>COUNTIF(May[Patient Species], "Canine")</f>
        <v>5</v>
      </c>
      <c r="G154" s="21">
        <f>COUNTIF(June[Patient Species], "Canine")</f>
        <v>5</v>
      </c>
      <c r="H154" s="21">
        <f>COUNTIF(July[Patient Species], "Canine")</f>
        <v>4</v>
      </c>
      <c r="I154" s="21">
        <f>COUNTIF(August[Patient Species], "Canine")</f>
        <v>4</v>
      </c>
      <c r="J154" s="21">
        <f>COUNTIF(September[Patient Species], "Canine")</f>
        <v>5</v>
      </c>
      <c r="K154" s="21">
        <f>COUNTIF(October[Patient Species], "Canine")</f>
        <v>5</v>
      </c>
      <c r="L154" s="21">
        <f>COUNTIF(November[Patient Species], "Canine")</f>
        <v>4</v>
      </c>
      <c r="M154" s="21">
        <f>COUNTIF(December[Patient Species], "Canine")</f>
        <v>5</v>
      </c>
      <c r="N154" s="21" t="s">
        <v>12</v>
      </c>
      <c r="O154" s="21">
        <f>SUM(B154:M154)</f>
        <v>62</v>
      </c>
    </row>
    <row r="155" spans="1:15">
      <c r="A155" s="21" t="s">
        <v>13</v>
      </c>
      <c r="B155" s="21">
        <f>COUNTIF(January[Patient Species], "Feline")</f>
        <v>3</v>
      </c>
      <c r="C155" s="21">
        <f>COUNTIF(February[Patient Species], "Feline")</f>
        <v>4</v>
      </c>
      <c r="D155" s="21">
        <f>COUNTIF(March[Patient Species], "Feline")</f>
        <v>4</v>
      </c>
      <c r="E155" s="21">
        <f>COUNTIF(April[Patient Species], "Feline")</f>
        <v>4</v>
      </c>
      <c r="F155" s="21">
        <f>COUNTIF(May[Patient Species], "Feline")</f>
        <v>5</v>
      </c>
      <c r="G155" s="21">
        <f>COUNTIF(June[Patient Species], "Feline")</f>
        <v>5</v>
      </c>
      <c r="H155" s="21">
        <f>COUNTIF(July[Patient Species], "Feline")</f>
        <v>6</v>
      </c>
      <c r="I155" s="21">
        <f>COUNTIF(August[Patient Species], "Feline")</f>
        <v>6</v>
      </c>
      <c r="J155" s="21">
        <f>COUNTIF(September[Patient Species], "Feline")</f>
        <v>5</v>
      </c>
      <c r="K155" s="21">
        <f>COUNTIF(October[Patient Species], "Feline")</f>
        <v>5</v>
      </c>
      <c r="L155" s="21">
        <f>COUNTIF(November[Patient Species], "Feline")</f>
        <v>6</v>
      </c>
      <c r="M155" s="21">
        <f>COUNTIF(December[Patient Species], "Feline")</f>
        <v>5</v>
      </c>
      <c r="N155" s="21" t="s">
        <v>13</v>
      </c>
      <c r="O155" s="21">
        <f>SUM(B155:M155)</f>
        <v>58</v>
      </c>
    </row>
    <row r="159" spans="1:15">
      <c r="A159" s="21" t="s">
        <v>0</v>
      </c>
    </row>
    <row r="160" spans="1:15">
      <c r="B160" s="21" t="s">
        <v>68</v>
      </c>
      <c r="C160" s="21" t="s">
        <v>69</v>
      </c>
      <c r="D160" s="21" t="s">
        <v>70</v>
      </c>
      <c r="E160" s="21" t="s">
        <v>71</v>
      </c>
      <c r="F160" s="21" t="s">
        <v>72</v>
      </c>
      <c r="G160" s="21" t="s">
        <v>73</v>
      </c>
      <c r="H160" s="21" t="s">
        <v>74</v>
      </c>
      <c r="I160" s="21" t="s">
        <v>75</v>
      </c>
      <c r="J160" s="21" t="s">
        <v>76</v>
      </c>
      <c r="K160" s="21" t="s">
        <v>77</v>
      </c>
      <c r="L160" s="21" t="s">
        <v>78</v>
      </c>
      <c r="M160" s="21" t="s">
        <v>79</v>
      </c>
      <c r="O160" s="21" t="s">
        <v>212</v>
      </c>
    </row>
    <row r="161" spans="1:15">
      <c r="A161" s="21" t="s">
        <v>16</v>
      </c>
      <c r="B161" s="21">
        <f>COUNTIF(January[Patient Sex], "Female Intact")</f>
        <v>1</v>
      </c>
      <c r="C161" s="21">
        <f>COUNTIF(February[Patient Sex], "Female Intact")</f>
        <v>2</v>
      </c>
      <c r="D161" s="21">
        <f>COUNTIF(March[Patient Sex], "Female Intact")</f>
        <v>1</v>
      </c>
      <c r="E161" s="21">
        <f>COUNTIF(April[Patient Sex], "Female Intact")</f>
        <v>1</v>
      </c>
      <c r="F161" s="21">
        <f>COUNTIF(May[Patient Sex], "Female Intact")</f>
        <v>1</v>
      </c>
      <c r="G161" s="21">
        <f>COUNTIF(June[Patient Sex], "Female Intact")</f>
        <v>2</v>
      </c>
      <c r="H161" s="21">
        <f>COUNTIF(July[Patient Sex], "Female Intact")</f>
        <v>1</v>
      </c>
      <c r="I161" s="21">
        <f>COUNTIF(August[Patient Sex], "Female Intact")</f>
        <v>0</v>
      </c>
      <c r="J161" s="21">
        <f>COUNTIF(September[Patient Sex], "Female Intact")</f>
        <v>2</v>
      </c>
      <c r="K161" s="21">
        <f>COUNTIF(October[Patient Sex], "Female Intact")</f>
        <v>0</v>
      </c>
      <c r="L161" s="21">
        <f>COUNTIF(November[Patient Sex], "Female Intact")</f>
        <v>1</v>
      </c>
      <c r="M161" s="21">
        <f>COUNTIF(December[Patient Sex], "Female Intact")</f>
        <v>1</v>
      </c>
      <c r="N161" s="21" t="s">
        <v>16</v>
      </c>
      <c r="O161" s="21">
        <f>SUM(B161:M161)</f>
        <v>13</v>
      </c>
    </row>
    <row r="162" spans="1:15">
      <c r="A162" s="21" t="s">
        <v>17</v>
      </c>
      <c r="B162" s="21">
        <f>COUNTIF(January[Patient Sex], "Female Spayed")</f>
        <v>4</v>
      </c>
      <c r="C162" s="21">
        <f>COUNTIF(February[Patient Sex], "Female Spayed")</f>
        <v>4</v>
      </c>
      <c r="D162" s="21">
        <f>COUNTIF(March[Patient Sex], "Female Spayed")</f>
        <v>4</v>
      </c>
      <c r="E162" s="21">
        <f>COUNTIF(April[Patient Sex], "Female Spayed")</f>
        <v>4</v>
      </c>
      <c r="F162" s="21">
        <f>COUNTIF(May[Patient Sex], "Female Spayed")</f>
        <v>4</v>
      </c>
      <c r="G162" s="21">
        <f>COUNTIF(June[Patient Sex], "Female Spayed")</f>
        <v>4</v>
      </c>
      <c r="H162" s="21">
        <f>COUNTIF(July[Patient Sex], "Female Spayed")</f>
        <v>5</v>
      </c>
      <c r="I162" s="21">
        <f>COUNTIF(August[Patient Sex], "Female Spayed")</f>
        <v>5</v>
      </c>
      <c r="J162" s="21">
        <f>COUNTIF(September[Patient Sex], "Female Spayed")</f>
        <v>3</v>
      </c>
      <c r="K162" s="21">
        <f>COUNTIF(October[Patient Sex], "Female Spayed")</f>
        <v>5</v>
      </c>
      <c r="L162" s="21">
        <f>COUNTIF(November[Patient Sex], "Female Spayed")</f>
        <v>4</v>
      </c>
      <c r="M162" s="21">
        <f>COUNTIF(December[Patient Sex], "Female Spayed")</f>
        <v>4</v>
      </c>
      <c r="N162" s="21" t="s">
        <v>17</v>
      </c>
      <c r="O162" s="21">
        <f>SUM(B162:M162)</f>
        <v>50</v>
      </c>
    </row>
    <row r="163" spans="1:15">
      <c r="A163" s="21" t="s">
        <v>14</v>
      </c>
      <c r="B163" s="21">
        <f>COUNTIF(January[Patient Sex], "Male Intact")</f>
        <v>2</v>
      </c>
      <c r="C163" s="21">
        <f>COUNTIF(February[Patient Sex], "Male Intact")</f>
        <v>1</v>
      </c>
      <c r="D163" s="21">
        <f>COUNTIF(March[Patient Sex], "Male Intact")</f>
        <v>1</v>
      </c>
      <c r="E163" s="21">
        <f>COUNTIF(April[Patient Sex], "Male Intact")</f>
        <v>1</v>
      </c>
      <c r="F163" s="21">
        <f>COUNTIF(May[Patient Sex], "Male Intact")</f>
        <v>1</v>
      </c>
      <c r="G163" s="21">
        <f>COUNTIF(June[Patient Sex], "Male Intact")</f>
        <v>0</v>
      </c>
      <c r="H163" s="21">
        <f>COUNTIF(July[Patient Sex], "Male Intact")</f>
        <v>0</v>
      </c>
      <c r="I163" s="21">
        <f>COUNTIF(August[Patient Sex], "Male Intact")</f>
        <v>0</v>
      </c>
      <c r="J163" s="21">
        <f>COUNTIF(September[Patient Sex], "Male Intact")</f>
        <v>1</v>
      </c>
      <c r="K163" s="21">
        <f>COUNTIF(October[Patient Sex], "Male Intact")</f>
        <v>2</v>
      </c>
      <c r="L163" s="21">
        <f>COUNTIF(November[Patient Sex], "Male Intact")</f>
        <v>1</v>
      </c>
      <c r="M163" s="21">
        <f>COUNTIF(December[Patient Sex], "Male Intact")</f>
        <v>1</v>
      </c>
      <c r="N163" s="21" t="s">
        <v>14</v>
      </c>
      <c r="O163" s="21">
        <f>SUM(B163:M163)</f>
        <v>11</v>
      </c>
    </row>
    <row r="164" spans="1:15">
      <c r="A164" s="21" t="s">
        <v>15</v>
      </c>
      <c r="B164" s="21">
        <f>COUNTIF(January[Patient Sex], "Male Neutered")</f>
        <v>3</v>
      </c>
      <c r="C164" s="21">
        <f>COUNTIF(February[Patient Sex], "Male Neutered")</f>
        <v>3</v>
      </c>
      <c r="D164" s="21">
        <f>COUNTIF(March[Patient Sex], "Male Neutered")</f>
        <v>4</v>
      </c>
      <c r="E164" s="21">
        <f>COUNTIF(April[Patient Sex], "Male Neutered")</f>
        <v>4</v>
      </c>
      <c r="F164" s="21">
        <f>COUNTIF(May[Patient Sex], "Male Neutered")</f>
        <v>4</v>
      </c>
      <c r="G164" s="21">
        <f>COUNTIF(June[Patient Sex], "Male Neutered")</f>
        <v>4</v>
      </c>
      <c r="H164" s="21">
        <f>COUNTIF(July[Patient Sex], "Male Neutered")</f>
        <v>4</v>
      </c>
      <c r="I164" s="21">
        <f>COUNTIF(August[Patient Sex], "Male Neutered")</f>
        <v>5</v>
      </c>
      <c r="J164" s="21">
        <f>COUNTIF(September[Patient Sex], "Male Neutered")</f>
        <v>4</v>
      </c>
      <c r="K164" s="21">
        <f>COUNTIF(October[Patient Sex], "Male Neutered")</f>
        <v>3</v>
      </c>
      <c r="L164" s="21">
        <f>COUNTIF(November[Patient Sex], "Male Neutered")</f>
        <v>4</v>
      </c>
      <c r="M164" s="21">
        <f>COUNTIF(December[Patient Sex], "Male Neutered")</f>
        <v>4</v>
      </c>
      <c r="N164" s="21" t="s">
        <v>15</v>
      </c>
      <c r="O164" s="21">
        <f>SUM(B164:M164)</f>
        <v>46</v>
      </c>
    </row>
    <row r="170" spans="1:15">
      <c r="A170" s="21" t="s">
        <v>111</v>
      </c>
      <c r="B170" s="21" t="s">
        <v>68</v>
      </c>
      <c r="C170" s="21" t="s">
        <v>69</v>
      </c>
      <c r="D170" s="21" t="s">
        <v>70</v>
      </c>
      <c r="E170" s="21" t="s">
        <v>71</v>
      </c>
      <c r="F170" s="21" t="s">
        <v>72</v>
      </c>
      <c r="G170" s="21" t="s">
        <v>73</v>
      </c>
      <c r="H170" s="21" t="s">
        <v>74</v>
      </c>
      <c r="I170" s="21" t="s">
        <v>75</v>
      </c>
      <c r="J170" s="21" t="s">
        <v>76</v>
      </c>
      <c r="K170" s="21" t="s">
        <v>77</v>
      </c>
      <c r="L170" s="21" t="s">
        <v>78</v>
      </c>
      <c r="M170" s="21" t="s">
        <v>79</v>
      </c>
      <c r="O170" s="21" t="s">
        <v>212</v>
      </c>
    </row>
    <row r="171" spans="1:15">
      <c r="A171" s="41" t="s">
        <v>117</v>
      </c>
      <c r="B171" s="21">
        <f>COUNTIF(January[Patient Age], "0-4 months")</f>
        <v>2</v>
      </c>
      <c r="C171" s="21">
        <f>COUNTIF(February[Patient Age], "0-4 months")</f>
        <v>1</v>
      </c>
      <c r="D171" s="21">
        <f>COUNTIF(March[Patient Age], "0-4 months")</f>
        <v>1</v>
      </c>
      <c r="E171" s="21">
        <f>COUNTIF(April[Patient Age], "0-4 months")</f>
        <v>1</v>
      </c>
      <c r="F171" s="21">
        <f>COUNTIF(May[Patient Age], "0-4 months")</f>
        <v>2</v>
      </c>
      <c r="G171" s="21">
        <f>COUNTIF(June[Patient Age], "0-4 months")</f>
        <v>2</v>
      </c>
      <c r="H171" s="21">
        <f>COUNTIF(July[Patient Age], "0-4 months")</f>
        <v>2</v>
      </c>
      <c r="I171" s="21">
        <f>COUNTIF(August[Patient Age], "0-4 months")</f>
        <v>1</v>
      </c>
      <c r="J171" s="21">
        <f>COUNTIF(September[Patient Age], "0-4 months")</f>
        <v>2</v>
      </c>
      <c r="K171" s="21">
        <f>COUNTIF(October[Patient Age], "0-4 months")</f>
        <v>1</v>
      </c>
      <c r="L171" s="21">
        <f>COUNTIF(November[Patient Age], "0-4 months")</f>
        <v>1</v>
      </c>
      <c r="M171" s="21">
        <f>COUNTIF(December[Patient Age], "0-4 months")</f>
        <v>1</v>
      </c>
      <c r="N171" s="41" t="s">
        <v>117</v>
      </c>
      <c r="O171" s="21">
        <f t="shared" ref="O171:O176" si="3">SUM(B171:M171)</f>
        <v>17</v>
      </c>
    </row>
    <row r="172" spans="1:15">
      <c r="A172" s="42" t="s">
        <v>218</v>
      </c>
      <c r="B172" s="21">
        <f>COUNTIF(January[Patient Age], "=&gt;4-12 months")</f>
        <v>0</v>
      </c>
      <c r="C172" s="21">
        <f>COUNTIF(February[Patient Age], "=&gt;4-12 months")</f>
        <v>1</v>
      </c>
      <c r="D172" s="21">
        <f>COUNTIF(March[Patient Age], "=&gt;4-12 months")</f>
        <v>1</v>
      </c>
      <c r="E172" s="21">
        <f>COUNTIF(April[Patient Age], "=&gt;4-12 months")</f>
        <v>2</v>
      </c>
      <c r="F172" s="21">
        <f>COUNTIF(May[Patient Age], "=&gt;4-12 months")</f>
        <v>2</v>
      </c>
      <c r="G172" s="21">
        <f>COUNTIF(June[Patient Age], "=&gt;4-12 months")</f>
        <v>2</v>
      </c>
      <c r="H172" s="21">
        <f>COUNTIF(July[Patient Age], "=&gt;4-12 months")</f>
        <v>1</v>
      </c>
      <c r="I172" s="21">
        <f>COUNTIF(August[Patient Age], "=&gt;4-12 months")</f>
        <v>1</v>
      </c>
      <c r="J172" s="21">
        <f>COUNTIF(September[Patient Age], "=&gt;4-12 months")</f>
        <v>2</v>
      </c>
      <c r="K172" s="21">
        <f>COUNTIF(October[Patient Age], "=&gt;4-12 months")</f>
        <v>2</v>
      </c>
      <c r="L172" s="21">
        <f>COUNTIF(November[Patient Age], "=&gt;4-12 months")</f>
        <v>2</v>
      </c>
      <c r="M172" s="21">
        <f>COUNTIF(December[Patient Age], "=&gt;4-12 months")</f>
        <v>2</v>
      </c>
      <c r="N172" s="42" t="s">
        <v>218</v>
      </c>
      <c r="O172" s="21">
        <f t="shared" si="3"/>
        <v>18</v>
      </c>
    </row>
    <row r="173" spans="1:15">
      <c r="A173" s="41" t="s">
        <v>219</v>
      </c>
      <c r="B173" s="21">
        <f>COUNTIF(January[Patient Age], "=&gt;1-3 years")</f>
        <v>3</v>
      </c>
      <c r="C173" s="21">
        <f>COUNTIF(February[Patient Age], "=&gt;1-3 years")</f>
        <v>4</v>
      </c>
      <c r="D173" s="21">
        <f>COUNTIF(March[Patient Age], "=&gt;1-3 years")</f>
        <v>2</v>
      </c>
      <c r="E173" s="21">
        <f>COUNTIF(April[Patient Age], "=&gt;1-3 years")</f>
        <v>2</v>
      </c>
      <c r="F173" s="21">
        <f>COUNTIF(May[Patient Age], "=&gt;1-3 years")</f>
        <v>2</v>
      </c>
      <c r="G173" s="21">
        <f>COUNTIF(June[Patient Age], "=&gt;1-3 years")</f>
        <v>2</v>
      </c>
      <c r="H173" s="21">
        <f>COUNTIF(July[Patient Age], "=&gt;1-3 years")</f>
        <v>2</v>
      </c>
      <c r="I173" s="21">
        <f>COUNTIF(August[Patient Age], "=&gt;1-3 years")</f>
        <v>2</v>
      </c>
      <c r="J173" s="21">
        <f>COUNTIF(September[Patient Age], "=&gt;1-3 years")</f>
        <v>1</v>
      </c>
      <c r="K173" s="21">
        <f>COUNTIF(October[Patient Age], "=&gt;1-3 years")</f>
        <v>2</v>
      </c>
      <c r="L173" s="21">
        <f>COUNTIF(November[Patient Age], "=&gt;1-3 years")</f>
        <v>2</v>
      </c>
      <c r="M173" s="21">
        <f>COUNTIF(December[Patient Age], "=&gt;1-3 years")</f>
        <v>4</v>
      </c>
      <c r="N173" s="41" t="s">
        <v>219</v>
      </c>
      <c r="O173" s="21">
        <f t="shared" si="3"/>
        <v>28</v>
      </c>
    </row>
    <row r="174" spans="1:15">
      <c r="A174" s="42" t="s">
        <v>220</v>
      </c>
      <c r="B174" s="21">
        <f>COUNTIF(January[Patient Age], "=&gt;3-7 years")</f>
        <v>2</v>
      </c>
      <c r="C174" s="21">
        <f>COUNTIF(February[Patient Age], "=&gt;3-7 years")</f>
        <v>1</v>
      </c>
      <c r="D174" s="21">
        <f>COUNTIF(March[Patient Age], "=&gt;3-7 years")</f>
        <v>1</v>
      </c>
      <c r="E174" s="21">
        <f>COUNTIF(April[Patient Age], "=&gt;3-7 years")</f>
        <v>2</v>
      </c>
      <c r="F174" s="21">
        <f>COUNTIF(May[Patient Age], "=&gt;3-7 years")</f>
        <v>1</v>
      </c>
      <c r="G174" s="21">
        <f>COUNTIF(June[Patient Age], "=&gt;3-7 years")</f>
        <v>2</v>
      </c>
      <c r="H174" s="21">
        <f>COUNTIF(July[Patient Age], "=&gt;3-7 years")</f>
        <v>2</v>
      </c>
      <c r="I174" s="21">
        <f>COUNTIF(August[Patient Age], "=&gt;3-7 years")</f>
        <v>3</v>
      </c>
      <c r="J174" s="21">
        <f>COUNTIF(September[Patient Age], "=&gt;3-7 years")</f>
        <v>1</v>
      </c>
      <c r="K174" s="21">
        <f>COUNTIF(October[Patient Age], "=&gt;3-7 years")</f>
        <v>2</v>
      </c>
      <c r="L174" s="21">
        <f>COUNTIF(November[Patient Age], "=&gt;3-7 years")</f>
        <v>1</v>
      </c>
      <c r="M174" s="21">
        <f>COUNTIF(December[Patient Age], "=&gt;3-7 years")</f>
        <v>1</v>
      </c>
      <c r="N174" s="42" t="s">
        <v>220</v>
      </c>
      <c r="O174" s="21">
        <f t="shared" si="3"/>
        <v>19</v>
      </c>
    </row>
    <row r="175" spans="1:15">
      <c r="A175" s="41" t="s">
        <v>221</v>
      </c>
      <c r="B175" s="21">
        <f>COUNTIF(January[Patient Age], "=&gt;7-10 years")</f>
        <v>2</v>
      </c>
      <c r="C175" s="21">
        <f>COUNTIF(February[Patient Age], "=&gt;7-10 years")</f>
        <v>2</v>
      </c>
      <c r="D175" s="21">
        <f>COUNTIF(March[Patient Age], "=&gt;7-10 years")</f>
        <v>3</v>
      </c>
      <c r="E175" s="21">
        <f>COUNTIF(April[Patient Age], "=&gt;7-10 years")</f>
        <v>1</v>
      </c>
      <c r="F175" s="21">
        <f>COUNTIF(May[Patient Age], "=&gt;7-10 years")</f>
        <v>2</v>
      </c>
      <c r="G175" s="21">
        <f>COUNTIF(June[Patient Age], "=&gt;7-10 years")</f>
        <v>1</v>
      </c>
      <c r="H175" s="21">
        <f>COUNTIF(July[Patient Age], "=&gt;7-10 years")</f>
        <v>2</v>
      </c>
      <c r="I175" s="21">
        <f>COUNTIF(August[Patient Age], "=&gt;7-10 years")</f>
        <v>2</v>
      </c>
      <c r="J175" s="21">
        <f>COUNTIF(September[Patient Age], "=&gt;7-10 years")</f>
        <v>2</v>
      </c>
      <c r="K175" s="21">
        <f>COUNTIF(October[Patient Age], "=&gt;7-10 years")</f>
        <v>2</v>
      </c>
      <c r="L175" s="21">
        <f>COUNTIF(November[Patient Age], "=&gt;7-10 years")</f>
        <v>2</v>
      </c>
      <c r="M175" s="21">
        <f>COUNTIF(December[Patient Age], "=&gt;7-10 years")</f>
        <v>1</v>
      </c>
      <c r="N175" s="41" t="s">
        <v>221</v>
      </c>
      <c r="O175" s="21">
        <f t="shared" si="3"/>
        <v>22</v>
      </c>
    </row>
    <row r="176" spans="1:15">
      <c r="A176" s="42" t="s">
        <v>123</v>
      </c>
      <c r="B176" s="21">
        <f>COUNTIF(January[Patient Age], "=&gt;10 years")</f>
        <v>1</v>
      </c>
      <c r="C176" s="21">
        <f>COUNTIF(February[Patient Age], "=&gt;10 years")</f>
        <v>1</v>
      </c>
      <c r="D176" s="21">
        <f>COUNTIF(March[Patient Age], "=&gt;10 years")</f>
        <v>2</v>
      </c>
      <c r="E176" s="21">
        <f>COUNTIF(April[Patient Age], "=&gt;10 years")</f>
        <v>2</v>
      </c>
      <c r="F176" s="21">
        <f>COUNTIF(May[Patient Age], "=&gt;10 years")</f>
        <v>1</v>
      </c>
      <c r="G176" s="21">
        <f>COUNTIF(June[Patient Age], "=&gt;10 years")</f>
        <v>1</v>
      </c>
      <c r="H176" s="21">
        <f>COUNTIF(July[Patient Age], "=&gt;10 years")</f>
        <v>1</v>
      </c>
      <c r="I176" s="21">
        <f>COUNTIF(August[Patient Age], "=&gt;10 years")</f>
        <v>1</v>
      </c>
      <c r="J176" s="21">
        <f>COUNTIF(September[Patient Age], "=&gt;10 years")</f>
        <v>2</v>
      </c>
      <c r="K176" s="21">
        <f>COUNTIF(October[Patient Age], "=&gt;10 years")</f>
        <v>1</v>
      </c>
      <c r="L176" s="21">
        <f>COUNTIF(November[Patient Age], "=&gt;10 years")</f>
        <v>2</v>
      </c>
      <c r="M176" s="21">
        <f>COUNTIF(December[Patient Age], "=&gt;10 years")</f>
        <v>1</v>
      </c>
      <c r="N176" s="42" t="s">
        <v>123</v>
      </c>
      <c r="O176" s="21">
        <f t="shared" si="3"/>
        <v>16</v>
      </c>
    </row>
    <row r="179" spans="1:15">
      <c r="A179" s="21" t="s">
        <v>315</v>
      </c>
      <c r="B179" s="21" t="s">
        <v>68</v>
      </c>
      <c r="C179" s="21" t="s">
        <v>69</v>
      </c>
      <c r="D179" s="21" t="s">
        <v>70</v>
      </c>
      <c r="E179" s="21" t="s">
        <v>71</v>
      </c>
      <c r="F179" s="21" t="s">
        <v>72</v>
      </c>
      <c r="G179" s="21" t="s">
        <v>73</v>
      </c>
      <c r="H179" s="21" t="s">
        <v>74</v>
      </c>
      <c r="I179" s="21" t="s">
        <v>75</v>
      </c>
      <c r="J179" s="21" t="s">
        <v>76</v>
      </c>
      <c r="K179" s="21" t="s">
        <v>77</v>
      </c>
      <c r="L179" s="21" t="s">
        <v>78</v>
      </c>
      <c r="M179" s="21" t="s">
        <v>79</v>
      </c>
      <c r="O179" s="21" t="s">
        <v>212</v>
      </c>
    </row>
    <row r="180" spans="1:15">
      <c r="A180" s="22" t="s">
        <v>18</v>
      </c>
      <c r="B180" s="21">
        <f>COUNTIF(January[Reason for Visit], "Preventive Care")</f>
        <v>3</v>
      </c>
      <c r="C180" s="21">
        <f>COUNTIF(February[Reason for Visit], "Preventive Care")</f>
        <v>3</v>
      </c>
      <c r="D180" s="21">
        <f>COUNTIF(March[Reason for Visit], "Preventive Care")</f>
        <v>2</v>
      </c>
      <c r="E180" s="21">
        <f>COUNTIF(April[Reason for Visit], "Preventive Care")</f>
        <v>3</v>
      </c>
      <c r="F180" s="21">
        <f>COUNTIF(May[Reason for Visit], "Preventive Care")</f>
        <v>3</v>
      </c>
      <c r="G180" s="21">
        <f>COUNTIF(June[Reason for Visit], "Preventive Care")</f>
        <v>3</v>
      </c>
      <c r="H180" s="21">
        <f>COUNTIF(July[Reason for Visit], "Preventive Care")</f>
        <v>3</v>
      </c>
      <c r="I180" s="21">
        <f>COUNTIF(August[Reason for Visit], "Preventive Care")</f>
        <v>3</v>
      </c>
      <c r="J180" s="21">
        <f>COUNTIF(September[Reason for Visit], "Preventive Care")</f>
        <v>4</v>
      </c>
      <c r="K180" s="35">
        <f>COUNTIF(October[Reason for Visit], "Preventive Care")</f>
        <v>3</v>
      </c>
      <c r="L180" s="35">
        <f>COUNTIF(November[Reason for Visit], "Preventive Care")</f>
        <v>4</v>
      </c>
      <c r="M180" s="35">
        <f>COUNTIF(December[Reason for Visit], "Preventive Care")</f>
        <v>4</v>
      </c>
      <c r="N180" s="22" t="s">
        <v>18</v>
      </c>
      <c r="O180" s="35">
        <f t="shared" ref="O180:O185" si="4">SUM(B180:M180)</f>
        <v>38</v>
      </c>
    </row>
    <row r="181" spans="1:15">
      <c r="A181" s="11" t="s">
        <v>19</v>
      </c>
      <c r="B181" s="21">
        <f>COUNTIF(January[Reason for Visit], "Re-check")</f>
        <v>1</v>
      </c>
      <c r="C181" s="21">
        <f>COUNTIF(February[Reason for Visit], "Re-check")</f>
        <v>1</v>
      </c>
      <c r="D181" s="21">
        <f>COUNTIF(March[Reason for Visit], "Re-check")</f>
        <v>1</v>
      </c>
      <c r="E181" s="21">
        <f>COUNTIF(April[Reason for Visit], "Re-check")</f>
        <v>2</v>
      </c>
      <c r="F181" s="21">
        <f>COUNTIF(May[Reason for Visit], "Re-check")</f>
        <v>2</v>
      </c>
      <c r="G181" s="21">
        <f>COUNTIF(June[Reason for Visit], "Re-check")</f>
        <v>2</v>
      </c>
      <c r="H181" s="21">
        <f>COUNTIF(July[Reason for Visit], "Re-check")</f>
        <v>1</v>
      </c>
      <c r="I181" s="21">
        <f>COUNTIF(August[Reason for Visit], "Re-check")</f>
        <v>1</v>
      </c>
      <c r="J181" s="21">
        <f>COUNTIF(September[Reason for Visit], "Re-check")</f>
        <v>0</v>
      </c>
      <c r="K181" s="21">
        <f>COUNTIF(October[Reason for Visit], "Re-check")</f>
        <v>0</v>
      </c>
      <c r="L181" s="21">
        <f>COUNTIF(November[Reason for Visit], "Re-check")</f>
        <v>0</v>
      </c>
      <c r="M181" s="21">
        <f>COUNTIF(December[Reason for Visit], "Re-check")</f>
        <v>1</v>
      </c>
      <c r="N181" s="11" t="s">
        <v>19</v>
      </c>
      <c r="O181" s="21">
        <f t="shared" si="4"/>
        <v>12</v>
      </c>
    </row>
    <row r="182" spans="1:15">
      <c r="A182" s="22" t="s">
        <v>20</v>
      </c>
      <c r="B182" s="21">
        <f>COUNTIF(January[Reason for Visit], "Sick")</f>
        <v>5</v>
      </c>
      <c r="C182" s="21">
        <f>COUNTIF(February[Reason for Visit], "Sick")</f>
        <v>4</v>
      </c>
      <c r="D182" s="21">
        <f>COUNTIF(March[Reason for Visit], "Sick")</f>
        <v>4</v>
      </c>
      <c r="E182" s="21">
        <f>COUNTIF(April[Reason for Visit], "Sick")</f>
        <v>4</v>
      </c>
      <c r="F182" s="21">
        <f>COUNTIF(May[Reason for Visit], "Sick")</f>
        <v>3</v>
      </c>
      <c r="G182" s="21">
        <f>COUNTIF(June[Reason for Visit], "Sick")</f>
        <v>4</v>
      </c>
      <c r="H182" s="21">
        <f>COUNTIF(July[Reason for Visit], "Sick")</f>
        <v>4</v>
      </c>
      <c r="I182" s="21">
        <f>COUNTIF(August[Reason for Visit], "Sick")</f>
        <v>4</v>
      </c>
      <c r="J182" s="21">
        <f>COUNTIF(September[Reason for Visit], "Sick")</f>
        <v>4</v>
      </c>
      <c r="K182" s="21">
        <f>COUNTIF(October[Reason for Visit], "Sick")</f>
        <v>5</v>
      </c>
      <c r="L182" s="21">
        <f>COUNTIF(November[Reason for Visit], "Sick")</f>
        <v>3</v>
      </c>
      <c r="M182" s="21">
        <f>COUNTIF(December[Reason for Visit], "Sick")</f>
        <v>4</v>
      </c>
      <c r="N182" s="22" t="s">
        <v>20</v>
      </c>
      <c r="O182" s="21">
        <f t="shared" si="4"/>
        <v>48</v>
      </c>
    </row>
    <row r="183" spans="1:15">
      <c r="A183" s="11" t="s">
        <v>149</v>
      </c>
      <c r="B183" s="21">
        <f>COUNTIF(January[Reason for Visit], "Surgery/Procedure")</f>
        <v>0</v>
      </c>
      <c r="C183" s="21">
        <f>COUNTIF(February[Reason for Visit], "Surgery/Procedure")</f>
        <v>1</v>
      </c>
      <c r="D183" s="21">
        <f>COUNTIF(March[Reason for Visit], "Surgery/Procedure")</f>
        <v>1</v>
      </c>
      <c r="E183" s="21">
        <f>COUNTIF(April[Reason for Visit], "Surgery/Procedure")</f>
        <v>0</v>
      </c>
      <c r="F183" s="21">
        <f>COUNTIF(May[Reason for Visit], "Surgery/Procedure")</f>
        <v>1</v>
      </c>
      <c r="G183" s="21">
        <f>COUNTIF(June[Reason for Visit], "Surgery/Procedure")</f>
        <v>0</v>
      </c>
      <c r="H183" s="21">
        <f>COUNTIF(July[Reason for Visit], "Surgery/Procedure")</f>
        <v>2</v>
      </c>
      <c r="I183" s="21">
        <f>COUNTIF(August[Reason for Visit], "Surgery/Procedure")</f>
        <v>1</v>
      </c>
      <c r="J183" s="21">
        <f>COUNTIF(September[Reason for Visit], "Surgery/Procedure")</f>
        <v>2</v>
      </c>
      <c r="K183" s="21">
        <f>COUNTIF(October[Reason for Visit], "Surgery/Procedure")</f>
        <v>2</v>
      </c>
      <c r="L183" s="21">
        <f>COUNTIF(November[Reason for Visit], "Surgery/Procedure")</f>
        <v>2</v>
      </c>
      <c r="M183" s="21">
        <f>COUNTIF(December[Reason for Visit], "Surgery/Procedure")</f>
        <v>1</v>
      </c>
      <c r="N183" s="11" t="s">
        <v>149</v>
      </c>
      <c r="O183" s="21">
        <f t="shared" si="4"/>
        <v>13</v>
      </c>
    </row>
    <row r="184" spans="1:15">
      <c r="A184" s="22" t="s">
        <v>292</v>
      </c>
      <c r="B184" s="21">
        <f>COUNTIF(January[Reason for Visit], "Euthanasia")</f>
        <v>1</v>
      </c>
      <c r="C184" s="21">
        <f>COUNTIF(February[Reason for Visit], "Euthanasia")</f>
        <v>1</v>
      </c>
      <c r="D184" s="21">
        <f>COUNTIF(March[Reason for Visit], "Euthanasia")</f>
        <v>1</v>
      </c>
      <c r="E184" s="21">
        <f>COUNTIF(April[Reason for Visit], "Euthanasia")</f>
        <v>1</v>
      </c>
      <c r="F184" s="21">
        <f>COUNTIF(May[Reason for Visit], "Euthanasia")</f>
        <v>1</v>
      </c>
      <c r="G184" s="21">
        <f>COUNTIF(June[Reason for Visit], "Euthanasia")</f>
        <v>1</v>
      </c>
      <c r="H184" s="21">
        <f>COUNTIF(July[Reason for Visit], "Euthanasia")</f>
        <v>0</v>
      </c>
      <c r="I184" s="21">
        <f>COUNTIF(August[Reason for Visit], "Euthanasia")</f>
        <v>1</v>
      </c>
      <c r="J184" s="21">
        <f>COUNTIF(September[Reason for Visit], "Euthanasia")</f>
        <v>0</v>
      </c>
      <c r="K184" s="21">
        <f>COUNTIF(October[Reason for Visit], "Euthanasia")</f>
        <v>0</v>
      </c>
      <c r="L184" s="21">
        <f>COUNTIF(November[Reason for Visit], "Euthanasia")</f>
        <v>1</v>
      </c>
      <c r="M184" s="21">
        <f>COUNTIF(December[Reason for Visit], "Euthanasia")</f>
        <v>0</v>
      </c>
      <c r="N184" s="22" t="s">
        <v>292</v>
      </c>
      <c r="O184" s="21">
        <f t="shared" si="4"/>
        <v>8</v>
      </c>
    </row>
    <row r="185" spans="1:15">
      <c r="A185" s="11" t="s">
        <v>21</v>
      </c>
      <c r="B185" s="21">
        <f>COUNTIF(January[Reason for Visit], "Other")</f>
        <v>0</v>
      </c>
      <c r="C185" s="21">
        <f>COUNTIF(February[Reason for Visit], "Other")</f>
        <v>0</v>
      </c>
      <c r="D185" s="21">
        <f>COUNTIF(March[Reason for Visit], "Other")</f>
        <v>1</v>
      </c>
      <c r="E185" s="21">
        <f>COUNTIF(April[Reason for Visit], "Other")</f>
        <v>0</v>
      </c>
      <c r="F185" s="21">
        <f>COUNTIF(May[Reason for Visit], "Other")</f>
        <v>0</v>
      </c>
      <c r="G185" s="21">
        <f>COUNTIF(June[Reason for Visit], "Other")</f>
        <v>0</v>
      </c>
      <c r="H185" s="21">
        <f>COUNTIF(July[Reason for Visit], "Other")</f>
        <v>0</v>
      </c>
      <c r="I185" s="21">
        <f>COUNTIF(August[Reason for Visit], "Other")</f>
        <v>0</v>
      </c>
      <c r="J185" s="21">
        <f>COUNTIF(September[Reason for Visit], "Other")</f>
        <v>0</v>
      </c>
      <c r="K185" s="21">
        <f>COUNTIF(October[Reason for Visit], "Other")</f>
        <v>0</v>
      </c>
      <c r="L185" s="21">
        <f>COUNTIF(November[Reason for Visit], "Other")</f>
        <v>0</v>
      </c>
      <c r="M185" s="21">
        <f>COUNTIF(December[Reason for Visit], "Other")</f>
        <v>0</v>
      </c>
      <c r="N185" s="11" t="s">
        <v>21</v>
      </c>
      <c r="O185" s="21">
        <f t="shared" si="4"/>
        <v>1</v>
      </c>
    </row>
  </sheetData>
  <sheetProtection algorithmName="SHA-512" hashValue="BSGJ4Qn3dMAp6qpUvLWUJNGoKOvkUs8oajKNZE+jbR5xGGy0LUAtDbUQFLXsGNyM1waeUjZyp1MsRGb1YOC/xA==" saltValue="C4IkohLt4s3CZYAlKtnsSQ==" spinCount="100000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workbookViewId="0">
      <selection activeCell="F14" sqref="F14"/>
    </sheetView>
  </sheetViews>
  <sheetFormatPr defaultColWidth="10.83203125" defaultRowHeight="15.5"/>
  <cols>
    <col min="1" max="15" width="10.83203125" style="24"/>
    <col min="16" max="16" width="14.1640625" style="24" customWidth="1"/>
    <col min="17" max="17" width="15.83203125" style="24" customWidth="1"/>
    <col min="18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43831</v>
      </c>
      <c r="B4" s="52" t="s">
        <v>294</v>
      </c>
      <c r="C4" s="32">
        <v>20001</v>
      </c>
      <c r="D4" s="32" t="s">
        <v>12</v>
      </c>
      <c r="E4" s="32" t="s">
        <v>17</v>
      </c>
      <c r="F4" s="32" t="s">
        <v>219</v>
      </c>
      <c r="G4" s="32" t="s">
        <v>18</v>
      </c>
      <c r="H4" s="32"/>
      <c r="I4" s="32" t="s">
        <v>23</v>
      </c>
      <c r="J4" s="32">
        <v>0</v>
      </c>
      <c r="K4" s="32" t="s">
        <v>100</v>
      </c>
      <c r="L4" s="32"/>
      <c r="M4" s="32"/>
      <c r="N4" s="31"/>
      <c r="O4" s="31"/>
      <c r="P4" s="53"/>
      <c r="Q4" s="21" t="str">
        <f>IFERROR(VLOOKUP(January[[#This Row],[Drug Name]],'Data Options'!$R$1:$S$100,2,FALSE), " ")</f>
        <v xml:space="preserve"> </v>
      </c>
      <c r="R4" s="32"/>
      <c r="S4" s="32"/>
      <c r="T4" s="53"/>
      <c r="U4" s="21" t="str">
        <f>IFERROR(VLOOKUP(January[[#This Row],[Drug Name2]],'Data Options'!$R$1:$S$100,2,FALSE), " ")</f>
        <v xml:space="preserve"> </v>
      </c>
      <c r="V4" s="32"/>
      <c r="W4" s="32"/>
      <c r="X4" s="53"/>
      <c r="Y4" s="21" t="str">
        <f>IFERROR(VLOOKUP(January[[#This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21" t="str">
        <f>IFERROR(VLOOKUP(January[[#This Row],[Drug Name4]],'Data Options'!$R$1:$S$100,2,FALSE), " ")</f>
        <v xml:space="preserve"> </v>
      </c>
      <c r="AI4" s="32"/>
      <c r="AJ4" s="32"/>
      <c r="AK4" s="53"/>
      <c r="AL4" s="21" t="str">
        <f>IFERROR(VLOOKUP(January[[#This Row],[Drug Name5]],'Data Options'!$R$1:$S$100,2,FALSE), " ")</f>
        <v xml:space="preserve"> </v>
      </c>
      <c r="AM4" s="32"/>
      <c r="AN4" s="32"/>
      <c r="AO4" s="53"/>
      <c r="AP4" s="21" t="str">
        <f>IFERROR(VLOOKUP(January[[#This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21" t="str">
        <f>IFERROR(VLOOKUP(January[[#This Row],[Drug Name7]],'Data Options'!$R$1:$S$100,2,FALSE), " ")</f>
        <v xml:space="preserve"> </v>
      </c>
      <c r="AZ4" s="32"/>
      <c r="BA4" s="32"/>
      <c r="BB4" s="53"/>
      <c r="BC4" s="21" t="str">
        <f>IFERROR(VLOOKUP(January[[#This Row],[Drug Name8]],'Data Options'!$R$1:$S$100,2,FALSE), " ")</f>
        <v xml:space="preserve"> </v>
      </c>
      <c r="BD4" s="32"/>
      <c r="BE4" s="32"/>
      <c r="BF4" s="53"/>
      <c r="BG4" s="21" t="str">
        <f>IFERROR(VLOOKUP(January[[#This Row],[Drug Name9]],'Data Options'!$R$1:$S$100,2,FALSE), " ")</f>
        <v xml:space="preserve"> </v>
      </c>
      <c r="BH4" s="32"/>
      <c r="BI4" s="32"/>
    </row>
    <row r="5" spans="1:61" ht="31">
      <c r="A5" s="51">
        <v>43831</v>
      </c>
      <c r="B5" s="32" t="s">
        <v>294</v>
      </c>
      <c r="C5" s="32">
        <v>20002</v>
      </c>
      <c r="D5" s="32" t="s">
        <v>12</v>
      </c>
      <c r="E5" s="32" t="s">
        <v>15</v>
      </c>
      <c r="F5" s="32" t="s">
        <v>220</v>
      </c>
      <c r="G5" s="32" t="s">
        <v>20</v>
      </c>
      <c r="H5" s="32"/>
      <c r="I5" s="32" t="s">
        <v>22</v>
      </c>
      <c r="J5" s="32">
        <v>1</v>
      </c>
      <c r="K5" s="32" t="s">
        <v>291</v>
      </c>
      <c r="L5" s="32"/>
      <c r="M5" s="32">
        <v>1</v>
      </c>
      <c r="N5" s="31" t="s">
        <v>22</v>
      </c>
      <c r="O5" s="31" t="s">
        <v>22</v>
      </c>
      <c r="P5" s="53" t="s">
        <v>313</v>
      </c>
      <c r="Q5" s="21" t="str">
        <f>IFERROR(VLOOKUP(January[[#This Row],[Drug Name]],'Data Options'!$R$1:$S$100,2,FALSE), " ")</f>
        <v>Otic</v>
      </c>
      <c r="R5" s="32" t="s">
        <v>92</v>
      </c>
      <c r="S5" s="32" t="s">
        <v>98</v>
      </c>
      <c r="T5" s="53"/>
      <c r="U5" s="21" t="str">
        <f>IFERROR(VLOOKUP(January[[#This Row],[Drug Name2]],'Data Options'!$R$1:$S$100,2,FALSE), " ")</f>
        <v xml:space="preserve"> </v>
      </c>
      <c r="V5" s="32"/>
      <c r="W5" s="32"/>
      <c r="X5" s="53"/>
      <c r="Y5" s="21" t="str">
        <f>IFERROR(VLOOKUP(January[[#This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21" t="str">
        <f>IFERROR(VLOOKUP(January[[#This Row],[Drug Name4]],'Data Options'!$R$1:$S$100,2,FALSE), " ")</f>
        <v xml:space="preserve"> </v>
      </c>
      <c r="AI5" s="32"/>
      <c r="AJ5" s="32"/>
      <c r="AK5" s="53"/>
      <c r="AL5" s="21" t="str">
        <f>IFERROR(VLOOKUP(January[[#This Row],[Drug Name5]],'Data Options'!$R$1:$S$100,2,FALSE), " ")</f>
        <v xml:space="preserve"> </v>
      </c>
      <c r="AM5" s="32"/>
      <c r="AN5" s="32"/>
      <c r="AO5" s="53"/>
      <c r="AP5" s="21" t="str">
        <f>IFERROR(VLOOKUP(January[[#This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21" t="str">
        <f>IFERROR(VLOOKUP(January[[#This Row],[Drug Name7]],'Data Options'!$R$1:$S$100,2,FALSE), " ")</f>
        <v xml:space="preserve"> </v>
      </c>
      <c r="AZ5" s="32"/>
      <c r="BA5" s="32"/>
      <c r="BB5" s="53"/>
      <c r="BC5" s="21" t="str">
        <f>IFERROR(VLOOKUP(January[[#This Row],[Drug Name8]],'Data Options'!$R$1:$S$100,2,FALSE), " ")</f>
        <v xml:space="preserve"> </v>
      </c>
      <c r="BD5" s="32"/>
      <c r="BE5" s="32"/>
      <c r="BF5" s="53"/>
      <c r="BG5" s="21" t="str">
        <f>IFERROR(VLOOKUP(January[[#This Row],[Drug Name9]],'Data Options'!$R$1:$S$100,2,FALSE), " ")</f>
        <v xml:space="preserve"> </v>
      </c>
      <c r="BH5" s="32"/>
      <c r="BI5" s="32"/>
    </row>
    <row r="6" spans="1:61">
      <c r="A6" s="51">
        <v>43831</v>
      </c>
      <c r="B6" s="32" t="s">
        <v>294</v>
      </c>
      <c r="C6" s="32">
        <v>20003</v>
      </c>
      <c r="D6" s="32" t="s">
        <v>13</v>
      </c>
      <c r="E6" s="32" t="s">
        <v>17</v>
      </c>
      <c r="F6" s="32" t="s">
        <v>221</v>
      </c>
      <c r="G6" s="32" t="s">
        <v>20</v>
      </c>
      <c r="H6" s="32"/>
      <c r="I6" s="32" t="s">
        <v>247</v>
      </c>
      <c r="J6" s="32">
        <v>0</v>
      </c>
      <c r="K6" s="32" t="s">
        <v>277</v>
      </c>
      <c r="L6" s="32"/>
      <c r="M6" s="32"/>
      <c r="N6" s="31" t="s">
        <v>22</v>
      </c>
      <c r="O6" s="31" t="s">
        <v>23</v>
      </c>
      <c r="P6" s="53"/>
      <c r="Q6" s="21" t="str">
        <f>IFERROR(VLOOKUP(January[[#This Row],[Drug Name]],'Data Options'!$R$1:$S$100,2,FALSE), " ")</f>
        <v xml:space="preserve"> </v>
      </c>
      <c r="R6" s="32"/>
      <c r="S6" s="32"/>
      <c r="T6" s="53"/>
      <c r="U6" s="21" t="str">
        <f>IFERROR(VLOOKUP(January[[#This Row],[Drug Name2]],'Data Options'!$R$1:$S$100,2,FALSE), " ")</f>
        <v xml:space="preserve"> </v>
      </c>
      <c r="V6" s="32"/>
      <c r="W6" s="32"/>
      <c r="X6" s="53"/>
      <c r="Y6" s="21" t="str">
        <f>IFERROR(VLOOKUP(January[[#This Row],[Drug Name3]],'Data Options'!$R$1:$S$100,2,FALSE), " ")</f>
        <v xml:space="preserve"> </v>
      </c>
      <c r="Z6" s="32"/>
      <c r="AA6" s="32"/>
      <c r="AB6" s="32"/>
      <c r="AC6" s="32"/>
      <c r="AD6" s="32"/>
      <c r="AE6" s="31"/>
      <c r="AF6" s="31"/>
      <c r="AG6" s="53"/>
      <c r="AH6" s="21" t="str">
        <f>IFERROR(VLOOKUP(January[[#This Row],[Drug Name4]],'Data Options'!$R$1:$S$100,2,FALSE), " ")</f>
        <v xml:space="preserve"> </v>
      </c>
      <c r="AI6" s="32"/>
      <c r="AJ6" s="32"/>
      <c r="AK6" s="53"/>
      <c r="AL6" s="21" t="str">
        <f>IFERROR(VLOOKUP(January[[#This Row],[Drug Name5]],'Data Options'!$R$1:$S$100,2,FALSE), " ")</f>
        <v xml:space="preserve"> </v>
      </c>
      <c r="AM6" s="32"/>
      <c r="AN6" s="32"/>
      <c r="AO6" s="53"/>
      <c r="AP6" s="21" t="str">
        <f>IFERROR(VLOOKUP(January[[#This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21" t="str">
        <f>IFERROR(VLOOKUP(January[[#This Row],[Drug Name7]],'Data Options'!$R$1:$S$100,2,FALSE), " ")</f>
        <v xml:space="preserve"> </v>
      </c>
      <c r="AZ6" s="32"/>
      <c r="BA6" s="32"/>
      <c r="BB6" s="53"/>
      <c r="BC6" s="21" t="str">
        <f>IFERROR(VLOOKUP(January[[#This Row],[Drug Name8]],'Data Options'!$R$1:$S$100,2,FALSE), " ")</f>
        <v xml:space="preserve"> </v>
      </c>
      <c r="BD6" s="32"/>
      <c r="BE6" s="32"/>
      <c r="BF6" s="53"/>
      <c r="BG6" s="21" t="str">
        <f>IFERROR(VLOOKUP(January[[#This Row],[Drug Name9]],'Data Options'!$R$1:$S$100,2,FALSE), " ")</f>
        <v xml:space="preserve"> </v>
      </c>
      <c r="BH6" s="32"/>
      <c r="BI6" s="32"/>
    </row>
    <row r="7" spans="1:61">
      <c r="A7" s="51">
        <v>43831</v>
      </c>
      <c r="B7" s="32" t="s">
        <v>294</v>
      </c>
      <c r="C7" s="32">
        <v>20004</v>
      </c>
      <c r="D7" s="32" t="s">
        <v>13</v>
      </c>
      <c r="E7" s="32" t="s">
        <v>17</v>
      </c>
      <c r="F7" s="32" t="s">
        <v>220</v>
      </c>
      <c r="G7" s="32" t="s">
        <v>20</v>
      </c>
      <c r="H7" s="32"/>
      <c r="I7" s="32" t="s">
        <v>22</v>
      </c>
      <c r="J7" s="32">
        <v>1</v>
      </c>
      <c r="K7" s="32" t="s">
        <v>276</v>
      </c>
      <c r="L7" s="32"/>
      <c r="M7" s="32">
        <v>1</v>
      </c>
      <c r="N7" s="31" t="s">
        <v>22</v>
      </c>
      <c r="O7" s="31" t="s">
        <v>23</v>
      </c>
      <c r="P7" s="53" t="s">
        <v>26</v>
      </c>
      <c r="Q7" s="21" t="str">
        <f>IFERROR(VLOOKUP(January[[#This Row],[Drug Name]],'Data Options'!$R$1:$S$100,2,FALSE), " ")</f>
        <v>Penicillins</v>
      </c>
      <c r="R7" s="32" t="s">
        <v>92</v>
      </c>
      <c r="S7" s="32" t="s">
        <v>89</v>
      </c>
      <c r="T7" s="53"/>
      <c r="U7" s="21" t="str">
        <f>IFERROR(VLOOKUP(January[[#This Row],[Drug Name2]],'Data Options'!$R$1:$S$100,2,FALSE), " ")</f>
        <v xml:space="preserve"> </v>
      </c>
      <c r="V7" s="32"/>
      <c r="W7" s="32"/>
      <c r="X7" s="53"/>
      <c r="Y7" s="21" t="str">
        <f>IFERROR(VLOOKUP(January[[#This Row],[Drug Name3]],'Data Options'!$R$1:$S$100,2,FALSE), " ")</f>
        <v xml:space="preserve"> </v>
      </c>
      <c r="Z7" s="32"/>
      <c r="AA7" s="32"/>
      <c r="AB7" s="32"/>
      <c r="AC7" s="32"/>
      <c r="AD7" s="32"/>
      <c r="AE7" s="31"/>
      <c r="AF7" s="31"/>
      <c r="AG7" s="53"/>
      <c r="AH7" s="21" t="str">
        <f>IFERROR(VLOOKUP(January[[#This Row],[Drug Name4]],'Data Options'!$R$1:$S$100,2,FALSE), " ")</f>
        <v xml:space="preserve"> </v>
      </c>
      <c r="AI7" s="32"/>
      <c r="AJ7" s="32"/>
      <c r="AK7" s="53"/>
      <c r="AL7" s="21" t="str">
        <f>IFERROR(VLOOKUP(January[[#This Row],[Drug Name5]],'Data Options'!$R$1:$S$100,2,FALSE), " ")</f>
        <v xml:space="preserve"> </v>
      </c>
      <c r="AM7" s="32"/>
      <c r="AN7" s="32"/>
      <c r="AO7" s="53"/>
      <c r="AP7" s="21" t="str">
        <f>IFERROR(VLOOKUP(January[[#This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21" t="str">
        <f>IFERROR(VLOOKUP(January[[#This Row],[Drug Name7]],'Data Options'!$R$1:$S$100,2,FALSE), " ")</f>
        <v xml:space="preserve"> </v>
      </c>
      <c r="AZ7" s="32"/>
      <c r="BA7" s="32"/>
      <c r="BB7" s="53"/>
      <c r="BC7" s="21" t="str">
        <f>IFERROR(VLOOKUP(January[[#This Row],[Drug Name8]],'Data Options'!$R$1:$S$100,2,FALSE), " ")</f>
        <v xml:space="preserve"> </v>
      </c>
      <c r="BD7" s="32"/>
      <c r="BE7" s="32"/>
      <c r="BF7" s="53"/>
      <c r="BG7" s="21" t="str">
        <f>IFERROR(VLOOKUP(January[[#This Row],[Drug Name9]],'Data Options'!$R$1:$S$100,2,FALSE), " ")</f>
        <v xml:space="preserve"> </v>
      </c>
      <c r="BH7" s="32"/>
      <c r="BI7" s="32"/>
    </row>
    <row r="8" spans="1:61">
      <c r="A8" s="51">
        <v>43832</v>
      </c>
      <c r="B8" s="32" t="s">
        <v>294</v>
      </c>
      <c r="C8" s="32">
        <v>20005</v>
      </c>
      <c r="D8" s="32" t="s">
        <v>12</v>
      </c>
      <c r="E8" s="32" t="s">
        <v>14</v>
      </c>
      <c r="F8" s="32" t="s">
        <v>117</v>
      </c>
      <c r="G8" s="32" t="s">
        <v>18</v>
      </c>
      <c r="H8" s="32"/>
      <c r="I8" s="32" t="s">
        <v>23</v>
      </c>
      <c r="J8" s="32">
        <v>0</v>
      </c>
      <c r="K8" s="32" t="s">
        <v>100</v>
      </c>
      <c r="L8" s="32"/>
      <c r="M8" s="32"/>
      <c r="N8" s="31"/>
      <c r="O8" s="31"/>
      <c r="P8" s="53"/>
      <c r="Q8" s="21" t="str">
        <f>IFERROR(VLOOKUP(January[[#This Row],[Drug Name]],'Data Options'!$R$1:$S$100,2,FALSE), " ")</f>
        <v xml:space="preserve"> </v>
      </c>
      <c r="R8" s="32"/>
      <c r="S8" s="32"/>
      <c r="T8" s="53"/>
      <c r="U8" s="21" t="str">
        <f>IFERROR(VLOOKUP(January[[#This Row],[Drug Name2]],'Data Options'!$R$1:$S$100,2,FALSE), " ")</f>
        <v xml:space="preserve"> </v>
      </c>
      <c r="V8" s="32"/>
      <c r="W8" s="32"/>
      <c r="X8" s="53"/>
      <c r="Y8" s="21" t="str">
        <f>IFERROR(VLOOKUP(January[[#This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21" t="str">
        <f>IFERROR(VLOOKUP(January[[#This Row],[Drug Name4]],'Data Options'!$R$1:$S$100,2,FALSE), " ")</f>
        <v xml:space="preserve"> </v>
      </c>
      <c r="AI8" s="32"/>
      <c r="AJ8" s="32"/>
      <c r="AK8" s="53"/>
      <c r="AL8" s="21" t="str">
        <f>IFERROR(VLOOKUP(January[[#This Row],[Drug Name5]],'Data Options'!$R$1:$S$100,2,FALSE), " ")</f>
        <v xml:space="preserve"> </v>
      </c>
      <c r="AM8" s="32"/>
      <c r="AN8" s="32"/>
      <c r="AO8" s="53"/>
      <c r="AP8" s="21" t="str">
        <f>IFERROR(VLOOKUP(January[[#This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21" t="str">
        <f>IFERROR(VLOOKUP(January[[#This Row],[Drug Name7]],'Data Options'!$R$1:$S$100,2,FALSE), " ")</f>
        <v xml:space="preserve"> </v>
      </c>
      <c r="AZ8" s="32"/>
      <c r="BA8" s="32"/>
      <c r="BB8" s="53"/>
      <c r="BC8" s="21" t="str">
        <f>IFERROR(VLOOKUP(January[[#This Row],[Drug Name8]],'Data Options'!$R$1:$S$100,2,FALSE), " ")</f>
        <v xml:space="preserve"> </v>
      </c>
      <c r="BD8" s="32"/>
      <c r="BE8" s="32"/>
      <c r="BF8" s="53"/>
      <c r="BG8" s="21" t="str">
        <f>IFERROR(VLOOKUP(January[[#This Row],[Drug Name9]],'Data Options'!$R$1:$S$100,2,FALSE), " ")</f>
        <v xml:space="preserve"> </v>
      </c>
      <c r="BH8" s="32"/>
      <c r="BI8" s="32"/>
    </row>
    <row r="9" spans="1:61" ht="31">
      <c r="A9" s="51">
        <v>43832</v>
      </c>
      <c r="B9" s="32" t="s">
        <v>294</v>
      </c>
      <c r="C9" s="32">
        <v>20006</v>
      </c>
      <c r="D9" s="32" t="s">
        <v>12</v>
      </c>
      <c r="E9" s="32" t="s">
        <v>15</v>
      </c>
      <c r="F9" s="32" t="s">
        <v>221</v>
      </c>
      <c r="G9" s="32" t="s">
        <v>20</v>
      </c>
      <c r="H9" s="32"/>
      <c r="I9" s="32" t="s">
        <v>22</v>
      </c>
      <c r="J9" s="32">
        <v>2</v>
      </c>
      <c r="K9" s="32" t="s">
        <v>86</v>
      </c>
      <c r="L9" s="32"/>
      <c r="M9" s="32">
        <v>1</v>
      </c>
      <c r="N9" s="31" t="s">
        <v>22</v>
      </c>
      <c r="O9" s="31" t="s">
        <v>22</v>
      </c>
      <c r="P9" s="53" t="s">
        <v>35</v>
      </c>
      <c r="Q9" s="21" t="str">
        <f>IFERROR(VLOOKUP(January[[#This Row],[Drug Name]],'Data Options'!$R$1:$S$100,2,FALSE), " ")</f>
        <v>Cephalosporins</v>
      </c>
      <c r="R9" s="32" t="s">
        <v>92</v>
      </c>
      <c r="S9" s="32" t="s">
        <v>89</v>
      </c>
      <c r="T9" s="53"/>
      <c r="U9" s="21" t="str">
        <f>IFERROR(VLOOKUP(January[[#This Row],[Drug Name2]],'Data Options'!$R$1:$S$100,2,FALSE), " ")</f>
        <v xml:space="preserve"> </v>
      </c>
      <c r="V9" s="32"/>
      <c r="W9" s="32"/>
      <c r="X9" s="53"/>
      <c r="Y9" s="21" t="str">
        <f>IFERROR(VLOOKUP(January[[#This Row],[Drug Name3]],'Data Options'!$R$1:$S$100,2,FALSE), " ")</f>
        <v xml:space="preserve"> </v>
      </c>
      <c r="Z9" s="32"/>
      <c r="AA9" s="32"/>
      <c r="AB9" s="32" t="s">
        <v>275</v>
      </c>
      <c r="AC9" s="32"/>
      <c r="AD9" s="32">
        <v>1</v>
      </c>
      <c r="AE9" s="31" t="s">
        <v>22</v>
      </c>
      <c r="AF9" s="31" t="s">
        <v>22</v>
      </c>
      <c r="AG9" s="53" t="s">
        <v>130</v>
      </c>
      <c r="AH9" s="21" t="str">
        <f>IFERROR(VLOOKUP(January[[#This Row],[Drug Name4]],'Data Options'!$R$1:$S$100,2,FALSE), " ")</f>
        <v>Fluoroquinolones</v>
      </c>
      <c r="AI9" s="32" t="s">
        <v>88</v>
      </c>
      <c r="AJ9" s="32" t="s">
        <v>89</v>
      </c>
      <c r="AK9" s="53"/>
      <c r="AL9" s="21" t="str">
        <f>IFERROR(VLOOKUP(January[[#This Row],[Drug Name5]],'Data Options'!$R$1:$S$100,2,FALSE), " ")</f>
        <v xml:space="preserve"> </v>
      </c>
      <c r="AM9" s="32"/>
      <c r="AN9" s="32"/>
      <c r="AO9" s="53"/>
      <c r="AP9" s="21" t="str">
        <f>IFERROR(VLOOKUP(January[[#This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21" t="str">
        <f>IFERROR(VLOOKUP(January[[#This Row],[Drug Name7]],'Data Options'!$R$1:$S$100,2,FALSE), " ")</f>
        <v xml:space="preserve"> </v>
      </c>
      <c r="AZ9" s="32"/>
      <c r="BA9" s="32"/>
      <c r="BB9" s="53"/>
      <c r="BC9" s="21" t="str">
        <f>IFERROR(VLOOKUP(January[[#This Row],[Drug Name8]],'Data Options'!$R$1:$S$100,2,FALSE), " ")</f>
        <v xml:space="preserve"> </v>
      </c>
      <c r="BD9" s="32"/>
      <c r="BE9" s="32"/>
      <c r="BF9" s="53"/>
      <c r="BG9" s="21" t="str">
        <f>IFERROR(VLOOKUP(January[[#This Row],[Drug Name9]],'Data Options'!$R$1:$S$100,2,FALSE), " ")</f>
        <v xml:space="preserve"> </v>
      </c>
      <c r="BH9" s="32"/>
      <c r="BI9" s="32"/>
    </row>
    <row r="10" spans="1:61">
      <c r="A10" s="51">
        <v>43832</v>
      </c>
      <c r="B10" s="32" t="s">
        <v>294</v>
      </c>
      <c r="C10" s="32">
        <v>20007</v>
      </c>
      <c r="D10" s="32" t="s">
        <v>12</v>
      </c>
      <c r="E10" s="32" t="s">
        <v>15</v>
      </c>
      <c r="F10" s="32" t="s">
        <v>219</v>
      </c>
      <c r="G10" s="32" t="s">
        <v>20</v>
      </c>
      <c r="H10" s="32"/>
      <c r="I10" s="32" t="s">
        <v>247</v>
      </c>
      <c r="J10" s="32">
        <v>0</v>
      </c>
      <c r="K10" s="32" t="s">
        <v>102</v>
      </c>
      <c r="L10" s="32"/>
      <c r="M10" s="32"/>
      <c r="N10" s="31"/>
      <c r="O10" s="31"/>
      <c r="P10" s="53"/>
      <c r="Q10" s="21" t="str">
        <f>IFERROR(VLOOKUP(January[[#This Row],[Drug Name]],'Data Options'!$R$1:$S$100,2,FALSE), " ")</f>
        <v xml:space="preserve"> </v>
      </c>
      <c r="R10" s="32"/>
      <c r="S10" s="32"/>
      <c r="T10" s="53"/>
      <c r="U10" s="21" t="str">
        <f>IFERROR(VLOOKUP(January[[#This Row],[Drug Name2]],'Data Options'!$R$1:$S$100,2,FALSE), " ")</f>
        <v xml:space="preserve"> </v>
      </c>
      <c r="V10" s="32"/>
      <c r="W10" s="32"/>
      <c r="X10" s="53"/>
      <c r="Y10" s="21" t="str">
        <f>IFERROR(VLOOKUP(January[[#This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21" t="str">
        <f>IFERROR(VLOOKUP(January[[#This Row],[Drug Name4]],'Data Options'!$R$1:$S$100,2,FALSE), " ")</f>
        <v xml:space="preserve"> </v>
      </c>
      <c r="AI10" s="32"/>
      <c r="AJ10" s="32"/>
      <c r="AK10" s="53"/>
      <c r="AL10" s="21" t="str">
        <f>IFERROR(VLOOKUP(January[[#This Row],[Drug Name5]],'Data Options'!$R$1:$S$100,2,FALSE), " ")</f>
        <v xml:space="preserve"> </v>
      </c>
      <c r="AM10" s="32"/>
      <c r="AN10" s="32"/>
      <c r="AO10" s="53"/>
      <c r="AP10" s="21" t="str">
        <f>IFERROR(VLOOKUP(January[[#This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21" t="str">
        <f>IFERROR(VLOOKUP(January[[#This Row],[Drug Name7]],'Data Options'!$R$1:$S$100,2,FALSE), " ")</f>
        <v xml:space="preserve"> </v>
      </c>
      <c r="AZ10" s="32"/>
      <c r="BA10" s="32"/>
      <c r="BB10" s="53"/>
      <c r="BC10" s="21" t="str">
        <f>IFERROR(VLOOKUP(January[[#This Row],[Drug Name8]],'Data Options'!$R$1:$S$100,2,FALSE), " ")</f>
        <v xml:space="preserve"> </v>
      </c>
      <c r="BD10" s="32"/>
      <c r="BE10" s="32"/>
      <c r="BF10" s="53"/>
      <c r="BG10" s="21" t="str">
        <f>IFERROR(VLOOKUP(January[[#This Row],[Drug Name9]],'Data Options'!$R$1:$S$100,2,FALSE), " ")</f>
        <v xml:space="preserve"> </v>
      </c>
      <c r="BH10" s="32"/>
      <c r="BI10" s="32"/>
    </row>
    <row r="11" spans="1:61">
      <c r="A11" s="51">
        <v>43833</v>
      </c>
      <c r="B11" s="32" t="s">
        <v>294</v>
      </c>
      <c r="C11" s="32">
        <v>20008</v>
      </c>
      <c r="D11" s="32" t="s">
        <v>13</v>
      </c>
      <c r="E11" s="32" t="s">
        <v>16</v>
      </c>
      <c r="F11" s="32" t="s">
        <v>117</v>
      </c>
      <c r="G11" s="32" t="s">
        <v>18</v>
      </c>
      <c r="H11" s="32"/>
      <c r="I11" s="32" t="s">
        <v>23</v>
      </c>
      <c r="J11" s="32">
        <v>0</v>
      </c>
      <c r="K11" s="32"/>
      <c r="L11" s="32"/>
      <c r="M11" s="32"/>
      <c r="N11" s="31"/>
      <c r="O11" s="31"/>
      <c r="P11" s="53"/>
      <c r="Q11" s="21" t="str">
        <f>IFERROR(VLOOKUP(January[[#This Row],[Drug Name]],'Data Options'!$R$1:$S$100,2,FALSE), " ")</f>
        <v xml:space="preserve"> </v>
      </c>
      <c r="R11" s="32"/>
      <c r="S11" s="32"/>
      <c r="T11" s="53"/>
      <c r="U11" s="21" t="str">
        <f>IFERROR(VLOOKUP(January[[#This Row],[Drug Name2]],'Data Options'!$R$1:$S$100,2,FALSE), " ")</f>
        <v xml:space="preserve"> </v>
      </c>
      <c r="V11" s="32"/>
      <c r="W11" s="32"/>
      <c r="X11" s="53"/>
      <c r="Y11" s="21" t="str">
        <f>IFERROR(VLOOKUP(January[[#This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21" t="str">
        <f>IFERROR(VLOOKUP(January[[#This Row],[Drug Name4]],'Data Options'!$R$1:$S$100,2,FALSE), " ")</f>
        <v xml:space="preserve"> </v>
      </c>
      <c r="AI11" s="32"/>
      <c r="AJ11" s="32"/>
      <c r="AK11" s="53"/>
      <c r="AL11" s="21" t="str">
        <f>IFERROR(VLOOKUP(January[[#This Row],[Drug Name5]],'Data Options'!$R$1:$S$100,2,FALSE), " ")</f>
        <v xml:space="preserve"> </v>
      </c>
      <c r="AM11" s="32"/>
      <c r="AN11" s="32"/>
      <c r="AO11" s="53"/>
      <c r="AP11" s="21" t="str">
        <f>IFERROR(VLOOKUP(January[[#This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21" t="str">
        <f>IFERROR(VLOOKUP(January[[#This Row],[Drug Name7]],'Data Options'!$R$1:$S$100,2,FALSE), " ")</f>
        <v xml:space="preserve"> </v>
      </c>
      <c r="AZ11" s="32"/>
      <c r="BA11" s="32"/>
      <c r="BB11" s="53"/>
      <c r="BC11" s="21" t="str">
        <f>IFERROR(VLOOKUP(January[[#This Row],[Drug Name8]],'Data Options'!$R$1:$S$100,2,FALSE), " ")</f>
        <v xml:space="preserve"> </v>
      </c>
      <c r="BD11" s="32"/>
      <c r="BE11" s="32"/>
      <c r="BF11" s="53"/>
      <c r="BG11" s="21" t="str">
        <f>IFERROR(VLOOKUP(January[[#This Row],[Drug Name9]],'Data Options'!$R$1:$S$100,2,FALSE), " ")</f>
        <v xml:space="preserve"> </v>
      </c>
      <c r="BH11" s="32"/>
      <c r="BI11" s="32"/>
    </row>
    <row r="12" spans="1:61">
      <c r="A12" s="51">
        <v>43834</v>
      </c>
      <c r="B12" s="32" t="s">
        <v>294</v>
      </c>
      <c r="C12" s="32">
        <v>20009</v>
      </c>
      <c r="D12" s="32" t="s">
        <v>12</v>
      </c>
      <c r="E12" s="32" t="s">
        <v>17</v>
      </c>
      <c r="F12" s="32" t="s">
        <v>123</v>
      </c>
      <c r="G12" s="32" t="s">
        <v>292</v>
      </c>
      <c r="H12" s="32"/>
      <c r="I12" s="32" t="s">
        <v>23</v>
      </c>
      <c r="J12" s="32">
        <v>0</v>
      </c>
      <c r="K12" s="32"/>
      <c r="L12" s="32"/>
      <c r="M12" s="32"/>
      <c r="N12" s="31"/>
      <c r="O12" s="31"/>
      <c r="P12" s="53"/>
      <c r="Q12" s="21" t="str">
        <f>IFERROR(VLOOKUP(January[[#This Row],[Drug Name]],'Data Options'!$R$1:$S$100,2,FALSE), " ")</f>
        <v xml:space="preserve"> </v>
      </c>
      <c r="R12" s="32"/>
      <c r="S12" s="32"/>
      <c r="T12" s="53"/>
      <c r="U12" s="21" t="str">
        <f>IFERROR(VLOOKUP(January[[#This Row],[Drug Name2]],'Data Options'!$R$1:$S$100,2,FALSE), " ")</f>
        <v xml:space="preserve"> </v>
      </c>
      <c r="V12" s="32"/>
      <c r="W12" s="32"/>
      <c r="X12" s="53"/>
      <c r="Y12" s="21" t="str">
        <f>IFERROR(VLOOKUP(January[[#This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21" t="str">
        <f>IFERROR(VLOOKUP(January[[#This Row],[Drug Name4]],'Data Options'!$R$1:$S$100,2,FALSE), " ")</f>
        <v xml:space="preserve"> </v>
      </c>
      <c r="AI12" s="32"/>
      <c r="AJ12" s="32"/>
      <c r="AK12" s="53"/>
      <c r="AL12" s="21" t="str">
        <f>IFERROR(VLOOKUP(January[[#This Row],[Drug Name5]],'Data Options'!$R$1:$S$100,2,FALSE), " ")</f>
        <v xml:space="preserve"> </v>
      </c>
      <c r="AM12" s="32"/>
      <c r="AN12" s="32"/>
      <c r="AO12" s="53"/>
      <c r="AP12" s="21" t="str">
        <f>IFERROR(VLOOKUP(January[[#This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21" t="str">
        <f>IFERROR(VLOOKUP(January[[#This Row],[Drug Name7]],'Data Options'!$R$1:$S$100,2,FALSE), " ")</f>
        <v xml:space="preserve"> </v>
      </c>
      <c r="AZ12" s="32"/>
      <c r="BA12" s="32"/>
      <c r="BB12" s="53"/>
      <c r="BC12" s="21" t="str">
        <f>IFERROR(VLOOKUP(January[[#This Row],[Drug Name8]],'Data Options'!$R$1:$S$100,2,FALSE), " ")</f>
        <v xml:space="preserve"> </v>
      </c>
      <c r="BD12" s="32"/>
      <c r="BE12" s="32"/>
      <c r="BF12" s="53"/>
      <c r="BG12" s="21" t="str">
        <f>IFERROR(VLOOKUP(January[[#This Row],[Drug Name9]],'Data Options'!$R$1:$S$100,2,FALSE), " ")</f>
        <v xml:space="preserve"> </v>
      </c>
      <c r="BH12" s="32"/>
      <c r="BI12" s="32"/>
    </row>
    <row r="13" spans="1:61">
      <c r="A13" s="51">
        <v>43835</v>
      </c>
      <c r="B13" s="32" t="s">
        <v>294</v>
      </c>
      <c r="C13" s="32">
        <v>20010</v>
      </c>
      <c r="D13" s="32" t="s">
        <v>12</v>
      </c>
      <c r="E13" s="32" t="s">
        <v>14</v>
      </c>
      <c r="F13" s="32" t="s">
        <v>219</v>
      </c>
      <c r="G13" s="32" t="s">
        <v>19</v>
      </c>
      <c r="H13" s="32"/>
      <c r="I13" s="32" t="s">
        <v>22</v>
      </c>
      <c r="J13" s="32">
        <v>1</v>
      </c>
      <c r="K13" s="32" t="s">
        <v>102</v>
      </c>
      <c r="L13" s="32"/>
      <c r="M13" s="32">
        <v>1</v>
      </c>
      <c r="N13" s="31" t="s">
        <v>23</v>
      </c>
      <c r="O13" s="31" t="s">
        <v>23</v>
      </c>
      <c r="P13" s="53" t="s">
        <v>43</v>
      </c>
      <c r="Q13" s="21" t="str">
        <f>IFERROR(VLOOKUP(January[[#This Row],[Drug Name]],'Data Options'!$R$1:$S$100,2,FALSE), " ")</f>
        <v>Nitroimidazoles</v>
      </c>
      <c r="R13" s="32" t="s">
        <v>92</v>
      </c>
      <c r="S13" s="32" t="s">
        <v>89</v>
      </c>
      <c r="T13" s="53"/>
      <c r="U13" s="21" t="str">
        <f>IFERROR(VLOOKUP(January[[#This Row],[Drug Name2]],'Data Options'!$R$1:$S$100,2,FALSE), " ")</f>
        <v xml:space="preserve"> </v>
      </c>
      <c r="V13" s="32"/>
      <c r="W13" s="32"/>
      <c r="X13" s="53"/>
      <c r="Y13" s="21" t="str">
        <f>IFERROR(VLOOKUP(January[[#This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21" t="str">
        <f>IFERROR(VLOOKUP(January[[#This Row],[Drug Name4]],'Data Options'!$R$1:$S$100,2,FALSE), " ")</f>
        <v xml:space="preserve"> </v>
      </c>
      <c r="AI13" s="32"/>
      <c r="AJ13" s="32"/>
      <c r="AK13" s="53"/>
      <c r="AL13" s="21" t="str">
        <f>IFERROR(VLOOKUP(January[[#This Row],[Drug Name5]],'Data Options'!$R$1:$S$100,2,FALSE), " ")</f>
        <v xml:space="preserve"> </v>
      </c>
      <c r="AM13" s="32"/>
      <c r="AN13" s="32"/>
      <c r="AO13" s="53"/>
      <c r="AP13" s="21" t="str">
        <f>IFERROR(VLOOKUP(January[[#This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21" t="str">
        <f>IFERROR(VLOOKUP(January[[#This Row],[Drug Name7]],'Data Options'!$R$1:$S$100,2,FALSE), " ")</f>
        <v xml:space="preserve"> </v>
      </c>
      <c r="AZ13" s="32"/>
      <c r="BA13" s="32"/>
      <c r="BB13" s="53"/>
      <c r="BC13" s="21" t="str">
        <f>IFERROR(VLOOKUP(January[[#This Row],[Drug Name8]],'Data Options'!$R$1:$S$100,2,FALSE), " ")</f>
        <v xml:space="preserve"> </v>
      </c>
      <c r="BD13" s="32"/>
      <c r="BE13" s="32"/>
      <c r="BF13" s="53"/>
      <c r="BG13" s="21" t="str">
        <f>IFERROR(VLOOKUP(January[[#This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21" t="str">
        <f>IFERROR(VLOOKUP(January[[#This Row],[Drug Name]],'Data Options'!$R$1:$S$100,2,FALSE), " ")</f>
        <v xml:space="preserve"> </v>
      </c>
      <c r="R14" s="32"/>
      <c r="S14" s="32"/>
      <c r="T14" s="53"/>
      <c r="U14" s="21" t="str">
        <f>IFERROR(VLOOKUP(January[[#This Row],[Drug Name2]],'Data Options'!$R$1:$S$100,2,FALSE), " ")</f>
        <v xml:space="preserve"> </v>
      </c>
      <c r="V14" s="32"/>
      <c r="W14" s="32"/>
      <c r="X14" s="53"/>
      <c r="Y14" s="21" t="str">
        <f>IFERROR(VLOOKUP(January[[#This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21" t="str">
        <f>IFERROR(VLOOKUP(January[[#This Row],[Drug Name4]],'Data Options'!$R$1:$S$100,2,FALSE), " ")</f>
        <v xml:space="preserve"> </v>
      </c>
      <c r="AI14" s="32"/>
      <c r="AJ14" s="32"/>
      <c r="AK14" s="53"/>
      <c r="AL14" s="21" t="str">
        <f>IFERROR(VLOOKUP(January[[#This Row],[Drug Name5]],'Data Options'!$R$1:$S$100,2,FALSE), " ")</f>
        <v xml:space="preserve"> </v>
      </c>
      <c r="AM14" s="32"/>
      <c r="AN14" s="32"/>
      <c r="AO14" s="53"/>
      <c r="AP14" s="21" t="str">
        <f>IFERROR(VLOOKUP(January[[#This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21" t="str">
        <f>IFERROR(VLOOKUP(January[[#This Row],[Drug Name7]],'Data Options'!$R$1:$S$100,2,FALSE), " ")</f>
        <v xml:space="preserve"> </v>
      </c>
      <c r="AZ14" s="32"/>
      <c r="BA14" s="32"/>
      <c r="BB14" s="53"/>
      <c r="BC14" s="21" t="str">
        <f>IFERROR(VLOOKUP(January[[#This Row],[Drug Name8]],'Data Options'!$R$1:$S$100,2,FALSE), " ")</f>
        <v xml:space="preserve"> </v>
      </c>
      <c r="BD14" s="32"/>
      <c r="BE14" s="32"/>
      <c r="BF14" s="53"/>
      <c r="BG14" s="21" t="str">
        <f>IFERROR(VLOOKUP(January[[#This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21" t="str">
        <f>IFERROR(VLOOKUP(January[[#This Row],[Drug Name]],'Data Options'!$R$1:$S$100,2,FALSE), " ")</f>
        <v xml:space="preserve"> </v>
      </c>
      <c r="R15" s="32"/>
      <c r="S15" s="32"/>
      <c r="T15" s="53"/>
      <c r="U15" s="21" t="str">
        <f>IFERROR(VLOOKUP(January[[#This Row],[Drug Name2]],'Data Options'!$R$1:$S$100,2,FALSE), " ")</f>
        <v xml:space="preserve"> </v>
      </c>
      <c r="V15" s="32"/>
      <c r="W15" s="32"/>
      <c r="X15" s="53"/>
      <c r="Y15" s="21" t="str">
        <f>IFERROR(VLOOKUP(January[[#This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21" t="str">
        <f>IFERROR(VLOOKUP(January[[#This Row],[Drug Name4]],'Data Options'!$R$1:$S$100,2,FALSE), " ")</f>
        <v xml:space="preserve"> </v>
      </c>
      <c r="AI15" s="32"/>
      <c r="AJ15" s="32"/>
      <c r="AK15" s="53"/>
      <c r="AL15" s="21" t="str">
        <f>IFERROR(VLOOKUP(January[[#This Row],[Drug Name5]],'Data Options'!$R$1:$S$100,2,FALSE), " ")</f>
        <v xml:space="preserve"> </v>
      </c>
      <c r="AM15" s="32"/>
      <c r="AN15" s="32"/>
      <c r="AO15" s="53"/>
      <c r="AP15" s="21" t="str">
        <f>IFERROR(VLOOKUP(January[[#This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21" t="str">
        <f>IFERROR(VLOOKUP(January[[#This Row],[Drug Name7]],'Data Options'!$R$1:$S$100,2,FALSE), " ")</f>
        <v xml:space="preserve"> </v>
      </c>
      <c r="AZ15" s="32"/>
      <c r="BA15" s="32"/>
      <c r="BB15" s="53"/>
      <c r="BC15" s="21" t="str">
        <f>IFERROR(VLOOKUP(January[[#This Row],[Drug Name8]],'Data Options'!$R$1:$S$100,2,FALSE), " ")</f>
        <v xml:space="preserve"> </v>
      </c>
      <c r="BD15" s="32"/>
      <c r="BE15" s="32"/>
      <c r="BF15" s="53"/>
      <c r="BG15" s="21" t="str">
        <f>IFERROR(VLOOKUP(January[[#This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21" t="str">
        <f>IFERROR(VLOOKUP(January[[#This Row],[Drug Name]],'Data Options'!$R$1:$S$100,2,FALSE), " ")</f>
        <v xml:space="preserve"> </v>
      </c>
      <c r="R16" s="32"/>
      <c r="S16" s="32"/>
      <c r="T16" s="53"/>
      <c r="U16" s="21" t="str">
        <f>IFERROR(VLOOKUP(January[[#This Row],[Drug Name2]],'Data Options'!$R$1:$S$100,2,FALSE), " ")</f>
        <v xml:space="preserve"> </v>
      </c>
      <c r="V16" s="32"/>
      <c r="W16" s="32"/>
      <c r="X16" s="53"/>
      <c r="Y16" s="21" t="str">
        <f>IFERROR(VLOOKUP(January[[#This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21" t="str">
        <f>IFERROR(VLOOKUP(January[[#This Row],[Drug Name4]],'Data Options'!$R$1:$S$100,2,FALSE), " ")</f>
        <v xml:space="preserve"> </v>
      </c>
      <c r="AI16" s="32"/>
      <c r="AJ16" s="32"/>
      <c r="AK16" s="53"/>
      <c r="AL16" s="21" t="str">
        <f>IFERROR(VLOOKUP(January[[#This Row],[Drug Name5]],'Data Options'!$R$1:$S$100,2,FALSE), " ")</f>
        <v xml:space="preserve"> </v>
      </c>
      <c r="AM16" s="32"/>
      <c r="AN16" s="32"/>
      <c r="AO16" s="53"/>
      <c r="AP16" s="21" t="str">
        <f>IFERROR(VLOOKUP(January[[#This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21" t="str">
        <f>IFERROR(VLOOKUP(January[[#This Row],[Drug Name7]],'Data Options'!$R$1:$S$100,2,FALSE), " ")</f>
        <v xml:space="preserve"> </v>
      </c>
      <c r="AZ16" s="32"/>
      <c r="BA16" s="32"/>
      <c r="BB16" s="53"/>
      <c r="BC16" s="21" t="str">
        <f>IFERROR(VLOOKUP(January[[#This Row],[Drug Name8]],'Data Options'!$R$1:$S$100,2,FALSE), " ")</f>
        <v xml:space="preserve"> </v>
      </c>
      <c r="BD16" s="32"/>
      <c r="BE16" s="32"/>
      <c r="BF16" s="53"/>
      <c r="BG16" s="21" t="str">
        <f>IFERROR(VLOOKUP(January[[#This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21" t="str">
        <f>IFERROR(VLOOKUP(January[[#This Row],[Drug Name]],'Data Options'!$R$1:$S$100,2,FALSE), " ")</f>
        <v xml:space="preserve"> </v>
      </c>
      <c r="R17" s="32"/>
      <c r="S17" s="32"/>
      <c r="T17" s="53"/>
      <c r="U17" s="21" t="str">
        <f>IFERROR(VLOOKUP(January[[#This Row],[Drug Name2]],'Data Options'!$R$1:$S$100,2,FALSE), " ")</f>
        <v xml:space="preserve"> </v>
      </c>
      <c r="V17" s="32"/>
      <c r="W17" s="32"/>
      <c r="X17" s="53"/>
      <c r="Y17" s="21" t="str">
        <f>IFERROR(VLOOKUP(January[[#This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21" t="str">
        <f>IFERROR(VLOOKUP(January[[#This Row],[Drug Name4]],'Data Options'!$R$1:$S$100,2,FALSE), " ")</f>
        <v xml:space="preserve"> </v>
      </c>
      <c r="AI17" s="32"/>
      <c r="AJ17" s="32"/>
      <c r="AK17" s="53"/>
      <c r="AL17" s="21" t="str">
        <f>IFERROR(VLOOKUP(January[[#This Row],[Drug Name5]],'Data Options'!$R$1:$S$100,2,FALSE), " ")</f>
        <v xml:space="preserve"> </v>
      </c>
      <c r="AM17" s="32"/>
      <c r="AN17" s="32"/>
      <c r="AO17" s="53"/>
      <c r="AP17" s="21" t="str">
        <f>IFERROR(VLOOKUP(January[[#This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21" t="str">
        <f>IFERROR(VLOOKUP(January[[#This Row],[Drug Name7]],'Data Options'!$R$1:$S$100,2,FALSE), " ")</f>
        <v xml:space="preserve"> </v>
      </c>
      <c r="AZ17" s="32"/>
      <c r="BA17" s="32"/>
      <c r="BB17" s="53"/>
      <c r="BC17" s="21" t="str">
        <f>IFERROR(VLOOKUP(January[[#This Row],[Drug Name8]],'Data Options'!$R$1:$S$100,2,FALSE), " ")</f>
        <v xml:space="preserve"> </v>
      </c>
      <c r="BD17" s="32"/>
      <c r="BE17" s="32"/>
      <c r="BF17" s="53"/>
      <c r="BG17" s="21" t="str">
        <f>IFERROR(VLOOKUP(January[[#This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21" t="str">
        <f>IFERROR(VLOOKUP(January[[#This Row],[Drug Name]],'Data Options'!$R$1:$S$100,2,FALSE), " ")</f>
        <v xml:space="preserve"> </v>
      </c>
      <c r="R18" s="32"/>
      <c r="S18" s="32"/>
      <c r="T18" s="53"/>
      <c r="U18" s="21" t="str">
        <f>IFERROR(VLOOKUP(January[[#This Row],[Drug Name2]],'Data Options'!$R$1:$S$100,2,FALSE), " ")</f>
        <v xml:space="preserve"> </v>
      </c>
      <c r="V18" s="32"/>
      <c r="W18" s="32"/>
      <c r="X18" s="53"/>
      <c r="Y18" s="21" t="str">
        <f>IFERROR(VLOOKUP(January[[#This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21" t="str">
        <f>IFERROR(VLOOKUP(January[[#This Row],[Drug Name4]],'Data Options'!$R$1:$S$100,2,FALSE), " ")</f>
        <v xml:space="preserve"> </v>
      </c>
      <c r="AI18" s="32"/>
      <c r="AJ18" s="32"/>
      <c r="AK18" s="53"/>
      <c r="AL18" s="21" t="str">
        <f>IFERROR(VLOOKUP(January[[#This Row],[Drug Name5]],'Data Options'!$R$1:$S$100,2,FALSE), " ")</f>
        <v xml:space="preserve"> </v>
      </c>
      <c r="AM18" s="32"/>
      <c r="AN18" s="32"/>
      <c r="AO18" s="53"/>
      <c r="AP18" s="21" t="str">
        <f>IFERROR(VLOOKUP(January[[#This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21" t="str">
        <f>IFERROR(VLOOKUP(January[[#This Row],[Drug Name7]],'Data Options'!$R$1:$S$100,2,FALSE), " ")</f>
        <v xml:space="preserve"> </v>
      </c>
      <c r="AZ18" s="32"/>
      <c r="BA18" s="32"/>
      <c r="BB18" s="53"/>
      <c r="BC18" s="21" t="str">
        <f>IFERROR(VLOOKUP(January[[#This Row],[Drug Name8]],'Data Options'!$R$1:$S$100,2,FALSE), " ")</f>
        <v xml:space="preserve"> </v>
      </c>
      <c r="BD18" s="32"/>
      <c r="BE18" s="32"/>
      <c r="BF18" s="53"/>
      <c r="BG18" s="21" t="str">
        <f>IFERROR(VLOOKUP(January[[#This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21" t="str">
        <f>IFERROR(VLOOKUP(January[[#This Row],[Drug Name]],'Data Options'!$R$1:$S$100,2,FALSE), " ")</f>
        <v xml:space="preserve"> </v>
      </c>
      <c r="R19" s="32"/>
      <c r="S19" s="32"/>
      <c r="T19" s="53"/>
      <c r="U19" s="21" t="str">
        <f>IFERROR(VLOOKUP(January[[#This Row],[Drug Name2]],'Data Options'!$R$1:$S$100,2,FALSE), " ")</f>
        <v xml:space="preserve"> </v>
      </c>
      <c r="V19" s="32"/>
      <c r="W19" s="32"/>
      <c r="X19" s="53"/>
      <c r="Y19" s="21" t="str">
        <f>IFERROR(VLOOKUP(January[[#This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21" t="str">
        <f>IFERROR(VLOOKUP(January[[#This Row],[Drug Name4]],'Data Options'!$R$1:$S$100,2,FALSE), " ")</f>
        <v xml:space="preserve"> </v>
      </c>
      <c r="AI19" s="32"/>
      <c r="AJ19" s="32"/>
      <c r="AK19" s="53"/>
      <c r="AL19" s="21" t="str">
        <f>IFERROR(VLOOKUP(January[[#This Row],[Drug Name5]],'Data Options'!$R$1:$S$100,2,FALSE), " ")</f>
        <v xml:space="preserve"> </v>
      </c>
      <c r="AM19" s="32"/>
      <c r="AN19" s="32"/>
      <c r="AO19" s="53"/>
      <c r="AP19" s="21" t="str">
        <f>IFERROR(VLOOKUP(January[[#This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21" t="str">
        <f>IFERROR(VLOOKUP(January[[#This Row],[Drug Name7]],'Data Options'!$R$1:$S$100,2,FALSE), " ")</f>
        <v xml:space="preserve"> </v>
      </c>
      <c r="AZ19" s="32"/>
      <c r="BA19" s="32"/>
      <c r="BB19" s="53"/>
      <c r="BC19" s="21" t="str">
        <f>IFERROR(VLOOKUP(January[[#This Row],[Drug Name8]],'Data Options'!$R$1:$S$100,2,FALSE), " ")</f>
        <v xml:space="preserve"> </v>
      </c>
      <c r="BD19" s="32"/>
      <c r="BE19" s="32"/>
      <c r="BF19" s="53"/>
      <c r="BG19" s="21" t="str">
        <f>IFERROR(VLOOKUP(January[[#This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21" t="str">
        <f>IFERROR(VLOOKUP(January[[#This Row],[Drug Name]],'Data Options'!$R$1:$S$100,2,FALSE), " ")</f>
        <v xml:space="preserve"> </v>
      </c>
      <c r="R20" s="32"/>
      <c r="S20" s="32"/>
      <c r="T20" s="53"/>
      <c r="U20" s="21" t="str">
        <f>IFERROR(VLOOKUP(January[[#This Row],[Drug Name2]],'Data Options'!$R$1:$S$100,2,FALSE), " ")</f>
        <v xml:space="preserve"> </v>
      </c>
      <c r="V20" s="32"/>
      <c r="W20" s="32"/>
      <c r="X20" s="53"/>
      <c r="Y20" s="21" t="str">
        <f>IFERROR(VLOOKUP(January[[#This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21" t="str">
        <f>IFERROR(VLOOKUP(January[[#This Row],[Drug Name4]],'Data Options'!$R$1:$S$100,2,FALSE), " ")</f>
        <v xml:space="preserve"> </v>
      </c>
      <c r="AI20" s="32"/>
      <c r="AJ20" s="32"/>
      <c r="AK20" s="53"/>
      <c r="AL20" s="21" t="str">
        <f>IFERROR(VLOOKUP(January[[#This Row],[Drug Name5]],'Data Options'!$R$1:$S$100,2,FALSE), " ")</f>
        <v xml:space="preserve"> </v>
      </c>
      <c r="AM20" s="32"/>
      <c r="AN20" s="32"/>
      <c r="AO20" s="53"/>
      <c r="AP20" s="21" t="str">
        <f>IFERROR(VLOOKUP(January[[#This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21" t="str">
        <f>IFERROR(VLOOKUP(January[[#This Row],[Drug Name7]],'Data Options'!$R$1:$S$100,2,FALSE), " ")</f>
        <v xml:space="preserve"> </v>
      </c>
      <c r="AZ20" s="32"/>
      <c r="BA20" s="32"/>
      <c r="BB20" s="53"/>
      <c r="BC20" s="21" t="str">
        <f>IFERROR(VLOOKUP(January[[#This Row],[Drug Name8]],'Data Options'!$R$1:$S$100,2,FALSE), " ")</f>
        <v xml:space="preserve"> </v>
      </c>
      <c r="BD20" s="32"/>
      <c r="BE20" s="32"/>
      <c r="BF20" s="53"/>
      <c r="BG20" s="21" t="str">
        <f>IFERROR(VLOOKUP(January[[#This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21" t="str">
        <f>IFERROR(VLOOKUP(January[[#This Row],[Drug Name]],'Data Options'!$R$1:$S$100,2,FALSE), " ")</f>
        <v xml:space="preserve"> </v>
      </c>
      <c r="R21" s="32"/>
      <c r="S21" s="32"/>
      <c r="T21" s="53"/>
      <c r="U21" s="21" t="str">
        <f>IFERROR(VLOOKUP(January[[#This Row],[Drug Name2]],'Data Options'!$R$1:$S$100,2,FALSE), " ")</f>
        <v xml:space="preserve"> </v>
      </c>
      <c r="V21" s="32"/>
      <c r="W21" s="32"/>
      <c r="X21" s="53"/>
      <c r="Y21" s="21" t="str">
        <f>IFERROR(VLOOKUP(January[[#This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21" t="str">
        <f>IFERROR(VLOOKUP(January[[#This Row],[Drug Name4]],'Data Options'!$R$1:$S$100,2,FALSE), " ")</f>
        <v xml:space="preserve"> </v>
      </c>
      <c r="AI21" s="32"/>
      <c r="AJ21" s="32"/>
      <c r="AK21" s="53"/>
      <c r="AL21" s="21" t="str">
        <f>IFERROR(VLOOKUP(January[[#This Row],[Drug Name5]],'Data Options'!$R$1:$S$100,2,FALSE), " ")</f>
        <v xml:space="preserve"> </v>
      </c>
      <c r="AM21" s="32"/>
      <c r="AN21" s="32"/>
      <c r="AO21" s="53"/>
      <c r="AP21" s="21" t="str">
        <f>IFERROR(VLOOKUP(January[[#This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21" t="str">
        <f>IFERROR(VLOOKUP(January[[#This Row],[Drug Name7]],'Data Options'!$R$1:$S$100,2,FALSE), " ")</f>
        <v xml:space="preserve"> </v>
      </c>
      <c r="AZ21" s="32"/>
      <c r="BA21" s="32"/>
      <c r="BB21" s="53"/>
      <c r="BC21" s="21" t="str">
        <f>IFERROR(VLOOKUP(January[[#This Row],[Drug Name8]],'Data Options'!$R$1:$S$100,2,FALSE), " ")</f>
        <v xml:space="preserve"> </v>
      </c>
      <c r="BD21" s="32"/>
      <c r="BE21" s="32"/>
      <c r="BF21" s="53"/>
      <c r="BG21" s="21" t="str">
        <f>IFERROR(VLOOKUP(January[[#This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21" t="str">
        <f>IFERROR(VLOOKUP(January[[#This Row],[Drug Name]],'Data Options'!$R$1:$S$100,2,FALSE), " ")</f>
        <v xml:space="preserve"> </v>
      </c>
      <c r="R22" s="32"/>
      <c r="S22" s="32"/>
      <c r="T22" s="53"/>
      <c r="U22" s="21" t="str">
        <f>IFERROR(VLOOKUP(January[[#This Row],[Drug Name2]],'Data Options'!$R$1:$S$100,2,FALSE), " ")</f>
        <v xml:space="preserve"> </v>
      </c>
      <c r="V22" s="32"/>
      <c r="W22" s="32"/>
      <c r="X22" s="53"/>
      <c r="Y22" s="21" t="str">
        <f>IFERROR(VLOOKUP(January[[#This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21" t="str">
        <f>IFERROR(VLOOKUP(January[[#This Row],[Drug Name4]],'Data Options'!$R$1:$S$100,2,FALSE), " ")</f>
        <v xml:space="preserve"> </v>
      </c>
      <c r="AI22" s="32"/>
      <c r="AJ22" s="32"/>
      <c r="AK22" s="53"/>
      <c r="AL22" s="21" t="str">
        <f>IFERROR(VLOOKUP(January[[#This Row],[Drug Name5]],'Data Options'!$R$1:$S$100,2,FALSE), " ")</f>
        <v xml:space="preserve"> </v>
      </c>
      <c r="AM22" s="32"/>
      <c r="AN22" s="32"/>
      <c r="AO22" s="53"/>
      <c r="AP22" s="21" t="str">
        <f>IFERROR(VLOOKUP(January[[#This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21" t="str">
        <f>IFERROR(VLOOKUP(January[[#This Row],[Drug Name7]],'Data Options'!$R$1:$S$100,2,FALSE), " ")</f>
        <v xml:space="preserve"> </v>
      </c>
      <c r="AZ22" s="32"/>
      <c r="BA22" s="32"/>
      <c r="BB22" s="53"/>
      <c r="BC22" s="21" t="str">
        <f>IFERROR(VLOOKUP(January[[#This Row],[Drug Name8]],'Data Options'!$R$1:$S$100,2,FALSE), " ")</f>
        <v xml:space="preserve"> </v>
      </c>
      <c r="BD22" s="32"/>
      <c r="BE22" s="32"/>
      <c r="BF22" s="53"/>
      <c r="BG22" s="21" t="str">
        <f>IFERROR(VLOOKUP(January[[#This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21" t="str">
        <f>IFERROR(VLOOKUP(January[[#This Row],[Drug Name]],'Data Options'!$R$1:$S$100,2,FALSE), " ")</f>
        <v xml:space="preserve"> </v>
      </c>
      <c r="R23" s="32"/>
      <c r="S23" s="32"/>
      <c r="T23" s="53"/>
      <c r="U23" s="21" t="str">
        <f>IFERROR(VLOOKUP(January[[#This Row],[Drug Name2]],'Data Options'!$R$1:$S$100,2,FALSE), " ")</f>
        <v xml:space="preserve"> </v>
      </c>
      <c r="V23" s="32"/>
      <c r="W23" s="32"/>
      <c r="X23" s="53"/>
      <c r="Y23" s="21" t="str">
        <f>IFERROR(VLOOKUP(January[[#This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21" t="str">
        <f>IFERROR(VLOOKUP(January[[#This Row],[Drug Name4]],'Data Options'!$R$1:$S$100,2,FALSE), " ")</f>
        <v xml:space="preserve"> </v>
      </c>
      <c r="AI23" s="32"/>
      <c r="AJ23" s="32"/>
      <c r="AK23" s="53"/>
      <c r="AL23" s="21" t="str">
        <f>IFERROR(VLOOKUP(January[[#This Row],[Drug Name5]],'Data Options'!$R$1:$S$100,2,FALSE), " ")</f>
        <v xml:space="preserve"> </v>
      </c>
      <c r="AM23" s="32"/>
      <c r="AN23" s="32"/>
      <c r="AO23" s="53"/>
      <c r="AP23" s="21" t="str">
        <f>IFERROR(VLOOKUP(January[[#This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21" t="str">
        <f>IFERROR(VLOOKUP(January[[#This Row],[Drug Name7]],'Data Options'!$R$1:$S$100,2,FALSE), " ")</f>
        <v xml:space="preserve"> </v>
      </c>
      <c r="AZ23" s="32"/>
      <c r="BA23" s="32"/>
      <c r="BB23" s="53"/>
      <c r="BC23" s="21" t="str">
        <f>IFERROR(VLOOKUP(January[[#This Row],[Drug Name8]],'Data Options'!$R$1:$S$100,2,FALSE), " ")</f>
        <v xml:space="preserve"> </v>
      </c>
      <c r="BD23" s="32"/>
      <c r="BE23" s="32"/>
      <c r="BF23" s="53"/>
      <c r="BG23" s="21" t="str">
        <f>IFERROR(VLOOKUP(January[[#This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21" t="str">
        <f>IFERROR(VLOOKUP(January[[#This Row],[Drug Name]],'Data Options'!$R$1:$S$100,2,FALSE), " ")</f>
        <v xml:space="preserve"> </v>
      </c>
      <c r="R24" s="32"/>
      <c r="S24" s="32"/>
      <c r="T24" s="53"/>
      <c r="U24" s="21" t="str">
        <f>IFERROR(VLOOKUP(January[[#This Row],[Drug Name2]],'Data Options'!$R$1:$S$100,2,FALSE), " ")</f>
        <v xml:space="preserve"> </v>
      </c>
      <c r="V24" s="32"/>
      <c r="W24" s="32"/>
      <c r="X24" s="53"/>
      <c r="Y24" s="21" t="str">
        <f>IFERROR(VLOOKUP(January[[#This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21" t="str">
        <f>IFERROR(VLOOKUP(January[[#This Row],[Drug Name4]],'Data Options'!$R$1:$S$100,2,FALSE), " ")</f>
        <v xml:space="preserve"> </v>
      </c>
      <c r="AI24" s="32"/>
      <c r="AJ24" s="32"/>
      <c r="AK24" s="53"/>
      <c r="AL24" s="21" t="str">
        <f>IFERROR(VLOOKUP(January[[#This Row],[Drug Name5]],'Data Options'!$R$1:$S$100,2,FALSE), " ")</f>
        <v xml:space="preserve"> </v>
      </c>
      <c r="AM24" s="32"/>
      <c r="AN24" s="32"/>
      <c r="AO24" s="53"/>
      <c r="AP24" s="21" t="str">
        <f>IFERROR(VLOOKUP(January[[#This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21" t="str">
        <f>IFERROR(VLOOKUP(January[[#This Row],[Drug Name7]],'Data Options'!$R$1:$S$100,2,FALSE), " ")</f>
        <v xml:space="preserve"> </v>
      </c>
      <c r="AZ24" s="32"/>
      <c r="BA24" s="32"/>
      <c r="BB24" s="53"/>
      <c r="BC24" s="21" t="str">
        <f>IFERROR(VLOOKUP(January[[#This Row],[Drug Name8]],'Data Options'!$R$1:$S$100,2,FALSE), " ")</f>
        <v xml:space="preserve"> </v>
      </c>
      <c r="BD24" s="32"/>
      <c r="BE24" s="32"/>
      <c r="BF24" s="53"/>
      <c r="BG24" s="21" t="str">
        <f>IFERROR(VLOOKUP(January[[#This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21" t="str">
        <f>IFERROR(VLOOKUP(January[[#This Row],[Drug Name]],'Data Options'!$R$1:$S$100,2,FALSE), " ")</f>
        <v xml:space="preserve"> </v>
      </c>
      <c r="R25" s="32"/>
      <c r="S25" s="32"/>
      <c r="T25" s="53"/>
      <c r="U25" s="21" t="str">
        <f>IFERROR(VLOOKUP(January[[#This Row],[Drug Name2]],'Data Options'!$R$1:$S$100,2,FALSE), " ")</f>
        <v xml:space="preserve"> </v>
      </c>
      <c r="V25" s="32"/>
      <c r="W25" s="32"/>
      <c r="X25" s="53"/>
      <c r="Y25" s="21" t="str">
        <f>IFERROR(VLOOKUP(January[[#This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21" t="str">
        <f>IFERROR(VLOOKUP(January[[#This Row],[Drug Name4]],'Data Options'!$R$1:$S$100,2,FALSE), " ")</f>
        <v xml:space="preserve"> </v>
      </c>
      <c r="AI25" s="32"/>
      <c r="AJ25" s="32"/>
      <c r="AK25" s="53"/>
      <c r="AL25" s="21" t="str">
        <f>IFERROR(VLOOKUP(January[[#This Row],[Drug Name5]],'Data Options'!$R$1:$S$100,2,FALSE), " ")</f>
        <v xml:space="preserve"> </v>
      </c>
      <c r="AM25" s="32"/>
      <c r="AN25" s="32"/>
      <c r="AO25" s="53"/>
      <c r="AP25" s="21" t="str">
        <f>IFERROR(VLOOKUP(January[[#This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21" t="str">
        <f>IFERROR(VLOOKUP(January[[#This Row],[Drug Name7]],'Data Options'!$R$1:$S$100,2,FALSE), " ")</f>
        <v xml:space="preserve"> </v>
      </c>
      <c r="AZ25" s="32"/>
      <c r="BA25" s="32"/>
      <c r="BB25" s="53"/>
      <c r="BC25" s="21" t="str">
        <f>IFERROR(VLOOKUP(January[[#This Row],[Drug Name8]],'Data Options'!$R$1:$S$100,2,FALSE), " ")</f>
        <v xml:space="preserve"> </v>
      </c>
      <c r="BD25" s="32"/>
      <c r="BE25" s="32"/>
      <c r="BF25" s="53"/>
      <c r="BG25" s="21" t="str">
        <f>IFERROR(VLOOKUP(January[[#This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21" t="str">
        <f>IFERROR(VLOOKUP(January[[#This Row],[Drug Name]],'Data Options'!$R$1:$S$100,2,FALSE), " ")</f>
        <v xml:space="preserve"> </v>
      </c>
      <c r="R26" s="32"/>
      <c r="S26" s="32"/>
      <c r="T26" s="53"/>
      <c r="U26" s="21" t="str">
        <f>IFERROR(VLOOKUP(January[[#This Row],[Drug Name2]],'Data Options'!$R$1:$S$100,2,FALSE), " ")</f>
        <v xml:space="preserve"> </v>
      </c>
      <c r="V26" s="32"/>
      <c r="W26" s="32"/>
      <c r="X26" s="53"/>
      <c r="Y26" s="21" t="str">
        <f>IFERROR(VLOOKUP(January[[#This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21" t="str">
        <f>IFERROR(VLOOKUP(January[[#This Row],[Drug Name4]],'Data Options'!$R$1:$S$100,2,FALSE), " ")</f>
        <v xml:space="preserve"> </v>
      </c>
      <c r="AI26" s="32"/>
      <c r="AJ26" s="32"/>
      <c r="AK26" s="53"/>
      <c r="AL26" s="21" t="str">
        <f>IFERROR(VLOOKUP(January[[#This Row],[Drug Name5]],'Data Options'!$R$1:$S$100,2,FALSE), " ")</f>
        <v xml:space="preserve"> </v>
      </c>
      <c r="AM26" s="32"/>
      <c r="AN26" s="32"/>
      <c r="AO26" s="53"/>
      <c r="AP26" s="21" t="str">
        <f>IFERROR(VLOOKUP(January[[#This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21" t="str">
        <f>IFERROR(VLOOKUP(January[[#This Row],[Drug Name7]],'Data Options'!$R$1:$S$100,2,FALSE), " ")</f>
        <v xml:space="preserve"> </v>
      </c>
      <c r="AZ26" s="32"/>
      <c r="BA26" s="32"/>
      <c r="BB26" s="53"/>
      <c r="BC26" s="21" t="str">
        <f>IFERROR(VLOOKUP(January[[#This Row],[Drug Name8]],'Data Options'!$R$1:$S$100,2,FALSE), " ")</f>
        <v xml:space="preserve"> </v>
      </c>
      <c r="BD26" s="32"/>
      <c r="BE26" s="32"/>
      <c r="BF26" s="53"/>
      <c r="BG26" s="21" t="str">
        <f>IFERROR(VLOOKUP(January[[#This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21" t="str">
        <f>IFERROR(VLOOKUP(January[[#This Row],[Drug Name]],'Data Options'!$R$1:$S$100,2,FALSE), " ")</f>
        <v xml:space="preserve"> </v>
      </c>
      <c r="R27" s="32"/>
      <c r="S27" s="32"/>
      <c r="T27" s="53"/>
      <c r="U27" s="21" t="str">
        <f>IFERROR(VLOOKUP(January[[#This Row],[Drug Name2]],'Data Options'!$R$1:$S$100,2,FALSE), " ")</f>
        <v xml:space="preserve"> </v>
      </c>
      <c r="V27" s="32"/>
      <c r="W27" s="32"/>
      <c r="X27" s="53"/>
      <c r="Y27" s="21" t="str">
        <f>IFERROR(VLOOKUP(January[[#This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21" t="str">
        <f>IFERROR(VLOOKUP(January[[#This Row],[Drug Name4]],'Data Options'!$R$1:$S$100,2,FALSE), " ")</f>
        <v xml:space="preserve"> </v>
      </c>
      <c r="AI27" s="32"/>
      <c r="AJ27" s="32"/>
      <c r="AK27" s="53"/>
      <c r="AL27" s="21" t="str">
        <f>IFERROR(VLOOKUP(January[[#This Row],[Drug Name5]],'Data Options'!$R$1:$S$100,2,FALSE), " ")</f>
        <v xml:space="preserve"> </v>
      </c>
      <c r="AM27" s="32"/>
      <c r="AN27" s="32"/>
      <c r="AO27" s="53"/>
      <c r="AP27" s="21" t="str">
        <f>IFERROR(VLOOKUP(January[[#This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21" t="str">
        <f>IFERROR(VLOOKUP(January[[#This Row],[Drug Name7]],'Data Options'!$R$1:$S$100,2,FALSE), " ")</f>
        <v xml:space="preserve"> </v>
      </c>
      <c r="AZ27" s="32"/>
      <c r="BA27" s="32"/>
      <c r="BB27" s="53"/>
      <c r="BC27" s="21" t="str">
        <f>IFERROR(VLOOKUP(January[[#This Row],[Drug Name8]],'Data Options'!$R$1:$S$100,2,FALSE), " ")</f>
        <v xml:space="preserve"> </v>
      </c>
      <c r="BD27" s="32"/>
      <c r="BE27" s="32"/>
      <c r="BF27" s="53"/>
      <c r="BG27" s="21" t="str">
        <f>IFERROR(VLOOKUP(January[[#This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21" t="str">
        <f>IFERROR(VLOOKUP(January[[#This Row],[Drug Name]],'Data Options'!$R$1:$S$100,2,FALSE), " ")</f>
        <v xml:space="preserve"> </v>
      </c>
      <c r="R28" s="32"/>
      <c r="S28" s="32"/>
      <c r="T28" s="53"/>
      <c r="U28" s="21" t="str">
        <f>IFERROR(VLOOKUP(January[[#This Row],[Drug Name2]],'Data Options'!$R$1:$S$100,2,FALSE), " ")</f>
        <v xml:space="preserve"> </v>
      </c>
      <c r="V28" s="32"/>
      <c r="W28" s="32"/>
      <c r="X28" s="53"/>
      <c r="Y28" s="21" t="str">
        <f>IFERROR(VLOOKUP(January[[#This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21" t="str">
        <f>IFERROR(VLOOKUP(January[[#This Row],[Drug Name4]],'Data Options'!$R$1:$S$100,2,FALSE), " ")</f>
        <v xml:space="preserve"> </v>
      </c>
      <c r="AI28" s="32"/>
      <c r="AJ28" s="32"/>
      <c r="AK28" s="53"/>
      <c r="AL28" s="21" t="str">
        <f>IFERROR(VLOOKUP(January[[#This Row],[Drug Name5]],'Data Options'!$R$1:$S$100,2,FALSE), " ")</f>
        <v xml:space="preserve"> </v>
      </c>
      <c r="AM28" s="32"/>
      <c r="AN28" s="32"/>
      <c r="AO28" s="53"/>
      <c r="AP28" s="21" t="str">
        <f>IFERROR(VLOOKUP(January[[#This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21" t="str">
        <f>IFERROR(VLOOKUP(January[[#This Row],[Drug Name7]],'Data Options'!$R$1:$S$100,2,FALSE), " ")</f>
        <v xml:space="preserve"> </v>
      </c>
      <c r="AZ28" s="32"/>
      <c r="BA28" s="32"/>
      <c r="BB28" s="53"/>
      <c r="BC28" s="21" t="str">
        <f>IFERROR(VLOOKUP(January[[#This Row],[Drug Name8]],'Data Options'!$R$1:$S$100,2,FALSE), " ")</f>
        <v xml:space="preserve"> </v>
      </c>
      <c r="BD28" s="32"/>
      <c r="BE28" s="32"/>
      <c r="BF28" s="53"/>
      <c r="BG28" s="21" t="str">
        <f>IFERROR(VLOOKUP(January[[#This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21" t="str">
        <f>IFERROR(VLOOKUP(January[[#This Row],[Drug Name]],'Data Options'!$R$1:$S$100,2,FALSE), " ")</f>
        <v xml:space="preserve"> </v>
      </c>
      <c r="R29" s="32"/>
      <c r="S29" s="32"/>
      <c r="T29" s="53"/>
      <c r="U29" s="21" t="str">
        <f>IFERROR(VLOOKUP(January[[#This Row],[Drug Name2]],'Data Options'!$R$1:$S$100,2,FALSE), " ")</f>
        <v xml:space="preserve"> </v>
      </c>
      <c r="V29" s="32"/>
      <c r="W29" s="32"/>
      <c r="X29" s="53"/>
      <c r="Y29" s="21" t="str">
        <f>IFERROR(VLOOKUP(January[[#This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21" t="str">
        <f>IFERROR(VLOOKUP(January[[#This Row],[Drug Name4]],'Data Options'!$R$1:$S$100,2,FALSE), " ")</f>
        <v xml:space="preserve"> </v>
      </c>
      <c r="AI29" s="32"/>
      <c r="AJ29" s="32"/>
      <c r="AK29" s="53"/>
      <c r="AL29" s="21" t="str">
        <f>IFERROR(VLOOKUP(January[[#This Row],[Drug Name5]],'Data Options'!$R$1:$S$100,2,FALSE), " ")</f>
        <v xml:space="preserve"> </v>
      </c>
      <c r="AM29" s="32"/>
      <c r="AN29" s="32"/>
      <c r="AO29" s="53"/>
      <c r="AP29" s="21" t="str">
        <f>IFERROR(VLOOKUP(January[[#This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21" t="str">
        <f>IFERROR(VLOOKUP(January[[#This Row],[Drug Name7]],'Data Options'!$R$1:$S$100,2,FALSE), " ")</f>
        <v xml:space="preserve"> </v>
      </c>
      <c r="AZ29" s="32"/>
      <c r="BA29" s="32"/>
      <c r="BB29" s="53"/>
      <c r="BC29" s="21" t="str">
        <f>IFERROR(VLOOKUP(January[[#This Row],[Drug Name8]],'Data Options'!$R$1:$S$100,2,FALSE), " ")</f>
        <v xml:space="preserve"> </v>
      </c>
      <c r="BD29" s="32"/>
      <c r="BE29" s="32"/>
      <c r="BF29" s="53"/>
      <c r="BG29" s="21" t="str">
        <f>IFERROR(VLOOKUP(January[[#This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21" t="str">
        <f>IFERROR(VLOOKUP(January[[#This Row],[Drug Name]],'Data Options'!$R$1:$S$100,2,FALSE), " ")</f>
        <v xml:space="preserve"> </v>
      </c>
      <c r="R30" s="32"/>
      <c r="S30" s="32"/>
      <c r="T30" s="53"/>
      <c r="U30" s="21" t="str">
        <f>IFERROR(VLOOKUP(January[[#This Row],[Drug Name2]],'Data Options'!$R$1:$S$100,2,FALSE), " ")</f>
        <v xml:space="preserve"> </v>
      </c>
      <c r="V30" s="32"/>
      <c r="W30" s="32"/>
      <c r="X30" s="53"/>
      <c r="Y30" s="21" t="str">
        <f>IFERROR(VLOOKUP(January[[#This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21" t="str">
        <f>IFERROR(VLOOKUP(January[[#This Row],[Drug Name4]],'Data Options'!$R$1:$S$100,2,FALSE), " ")</f>
        <v xml:space="preserve"> </v>
      </c>
      <c r="AI30" s="32"/>
      <c r="AJ30" s="32"/>
      <c r="AK30" s="53"/>
      <c r="AL30" s="21" t="str">
        <f>IFERROR(VLOOKUP(January[[#This Row],[Drug Name5]],'Data Options'!$R$1:$S$100,2,FALSE), " ")</f>
        <v xml:space="preserve"> </v>
      </c>
      <c r="AM30" s="32"/>
      <c r="AN30" s="32"/>
      <c r="AO30" s="53"/>
      <c r="AP30" s="21" t="str">
        <f>IFERROR(VLOOKUP(January[[#This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21" t="str">
        <f>IFERROR(VLOOKUP(January[[#This Row],[Drug Name7]],'Data Options'!$R$1:$S$100,2,FALSE), " ")</f>
        <v xml:space="preserve"> </v>
      </c>
      <c r="AZ30" s="32"/>
      <c r="BA30" s="32"/>
      <c r="BB30" s="53"/>
      <c r="BC30" s="21" t="str">
        <f>IFERROR(VLOOKUP(January[[#This Row],[Drug Name8]],'Data Options'!$R$1:$S$100,2,FALSE), " ")</f>
        <v xml:space="preserve"> </v>
      </c>
      <c r="BD30" s="32"/>
      <c r="BE30" s="32"/>
      <c r="BF30" s="53"/>
      <c r="BG30" s="21" t="str">
        <f>IFERROR(VLOOKUP(January[[#This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21" t="str">
        <f>IFERROR(VLOOKUP(January[[#This Row],[Drug Name]],'Data Options'!$R$1:$S$100,2,FALSE), " ")</f>
        <v xml:space="preserve"> </v>
      </c>
      <c r="R31" s="32"/>
      <c r="S31" s="32"/>
      <c r="T31" s="53"/>
      <c r="U31" s="21" t="str">
        <f>IFERROR(VLOOKUP(January[[#This Row],[Drug Name2]],'Data Options'!$R$1:$S$100,2,FALSE), " ")</f>
        <v xml:space="preserve"> </v>
      </c>
      <c r="V31" s="32"/>
      <c r="W31" s="32"/>
      <c r="X31" s="53"/>
      <c r="Y31" s="21" t="str">
        <f>IFERROR(VLOOKUP(January[[#This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21" t="str">
        <f>IFERROR(VLOOKUP(January[[#This Row],[Drug Name4]],'Data Options'!$R$1:$S$100,2,FALSE), " ")</f>
        <v xml:space="preserve"> </v>
      </c>
      <c r="AI31" s="32"/>
      <c r="AJ31" s="32"/>
      <c r="AK31" s="53"/>
      <c r="AL31" s="21" t="str">
        <f>IFERROR(VLOOKUP(January[[#This Row],[Drug Name5]],'Data Options'!$R$1:$S$100,2,FALSE), " ")</f>
        <v xml:space="preserve"> </v>
      </c>
      <c r="AM31" s="32"/>
      <c r="AN31" s="32"/>
      <c r="AO31" s="53"/>
      <c r="AP31" s="21" t="str">
        <f>IFERROR(VLOOKUP(January[[#This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21" t="str">
        <f>IFERROR(VLOOKUP(January[[#This Row],[Drug Name7]],'Data Options'!$R$1:$S$100,2,FALSE), " ")</f>
        <v xml:space="preserve"> </v>
      </c>
      <c r="AZ31" s="32"/>
      <c r="BA31" s="32"/>
      <c r="BB31" s="53"/>
      <c r="BC31" s="21" t="str">
        <f>IFERROR(VLOOKUP(January[[#This Row],[Drug Name8]],'Data Options'!$R$1:$S$100,2,FALSE), " ")</f>
        <v xml:space="preserve"> </v>
      </c>
      <c r="BD31" s="32"/>
      <c r="BE31" s="32"/>
      <c r="BF31" s="53"/>
      <c r="BG31" s="21" t="str">
        <f>IFERROR(VLOOKUP(January[[#This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21" t="str">
        <f>IFERROR(VLOOKUP(January[[#This Row],[Drug Name]],'Data Options'!$R$1:$S$100,2,FALSE), " ")</f>
        <v xml:space="preserve"> </v>
      </c>
      <c r="R32" s="32"/>
      <c r="S32" s="32"/>
      <c r="T32" s="53"/>
      <c r="U32" s="21" t="str">
        <f>IFERROR(VLOOKUP(January[[#This Row],[Drug Name2]],'Data Options'!$R$1:$S$100,2,FALSE), " ")</f>
        <v xml:space="preserve"> </v>
      </c>
      <c r="V32" s="32"/>
      <c r="W32" s="32"/>
      <c r="X32" s="53"/>
      <c r="Y32" s="21" t="str">
        <f>IFERROR(VLOOKUP(January[[#This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21" t="str">
        <f>IFERROR(VLOOKUP(January[[#This Row],[Drug Name4]],'Data Options'!$R$1:$S$100,2,FALSE), " ")</f>
        <v xml:space="preserve"> </v>
      </c>
      <c r="AI32" s="32"/>
      <c r="AJ32" s="32"/>
      <c r="AK32" s="53"/>
      <c r="AL32" s="21" t="str">
        <f>IFERROR(VLOOKUP(January[[#This Row],[Drug Name5]],'Data Options'!$R$1:$S$100,2,FALSE), " ")</f>
        <v xml:space="preserve"> </v>
      </c>
      <c r="AM32" s="32"/>
      <c r="AN32" s="32"/>
      <c r="AO32" s="53"/>
      <c r="AP32" s="21" t="str">
        <f>IFERROR(VLOOKUP(January[[#This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21" t="str">
        <f>IFERROR(VLOOKUP(January[[#This Row],[Drug Name7]],'Data Options'!$R$1:$S$100,2,FALSE), " ")</f>
        <v xml:space="preserve"> </v>
      </c>
      <c r="AZ32" s="32"/>
      <c r="BA32" s="32"/>
      <c r="BB32" s="53"/>
      <c r="BC32" s="21" t="str">
        <f>IFERROR(VLOOKUP(January[[#This Row],[Drug Name8]],'Data Options'!$R$1:$S$100,2,FALSE), " ")</f>
        <v xml:space="preserve"> </v>
      </c>
      <c r="BD32" s="32"/>
      <c r="BE32" s="32"/>
      <c r="BF32" s="53"/>
      <c r="BG32" s="21" t="str">
        <f>IFERROR(VLOOKUP(January[[#This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21" t="str">
        <f>IFERROR(VLOOKUP(January[[#This Row],[Drug Name]],'Data Options'!$R$1:$S$100,2,FALSE), " ")</f>
        <v xml:space="preserve"> </v>
      </c>
      <c r="R33" s="32"/>
      <c r="S33" s="32"/>
      <c r="T33" s="53"/>
      <c r="U33" s="21" t="str">
        <f>IFERROR(VLOOKUP(January[[#This Row],[Drug Name2]],'Data Options'!$R$1:$S$100,2,FALSE), " ")</f>
        <v xml:space="preserve"> </v>
      </c>
      <c r="V33" s="32"/>
      <c r="W33" s="32"/>
      <c r="X33" s="53"/>
      <c r="Y33" s="21" t="str">
        <f>IFERROR(VLOOKUP(January[[#This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21" t="str">
        <f>IFERROR(VLOOKUP(January[[#This Row],[Drug Name4]],'Data Options'!$R$1:$S$100,2,FALSE), " ")</f>
        <v xml:space="preserve"> </v>
      </c>
      <c r="AI33" s="32"/>
      <c r="AJ33" s="32"/>
      <c r="AK33" s="53"/>
      <c r="AL33" s="21" t="str">
        <f>IFERROR(VLOOKUP(January[[#This Row],[Drug Name5]],'Data Options'!$R$1:$S$100,2,FALSE), " ")</f>
        <v xml:space="preserve"> </v>
      </c>
      <c r="AM33" s="32"/>
      <c r="AN33" s="32"/>
      <c r="AO33" s="53"/>
      <c r="AP33" s="21" t="str">
        <f>IFERROR(VLOOKUP(January[[#This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21" t="str">
        <f>IFERROR(VLOOKUP(January[[#This Row],[Drug Name7]],'Data Options'!$R$1:$S$100,2,FALSE), " ")</f>
        <v xml:space="preserve"> </v>
      </c>
      <c r="AZ33" s="32"/>
      <c r="BA33" s="32"/>
      <c r="BB33" s="53"/>
      <c r="BC33" s="21" t="str">
        <f>IFERROR(VLOOKUP(January[[#This Row],[Drug Name8]],'Data Options'!$R$1:$S$100,2,FALSE), " ")</f>
        <v xml:space="preserve"> </v>
      </c>
      <c r="BD33" s="32"/>
      <c r="BE33" s="32"/>
      <c r="BF33" s="53"/>
      <c r="BG33" s="21" t="str">
        <f>IFERROR(VLOOKUP(January[[#This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21" t="str">
        <f>IFERROR(VLOOKUP(January[[#This Row],[Drug Name]],'Data Options'!$R$1:$S$100,2,FALSE), " ")</f>
        <v xml:space="preserve"> </v>
      </c>
      <c r="R34" s="32"/>
      <c r="S34" s="32"/>
      <c r="T34" s="53"/>
      <c r="U34" s="21" t="str">
        <f>IFERROR(VLOOKUP(January[[#This Row],[Drug Name2]],'Data Options'!$R$1:$S$100,2,FALSE), " ")</f>
        <v xml:space="preserve"> </v>
      </c>
      <c r="V34" s="32"/>
      <c r="W34" s="32"/>
      <c r="X34" s="53"/>
      <c r="Y34" s="21" t="str">
        <f>IFERROR(VLOOKUP(January[[#This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21" t="str">
        <f>IFERROR(VLOOKUP(January[[#This Row],[Drug Name4]],'Data Options'!$R$1:$S$100,2,FALSE), " ")</f>
        <v xml:space="preserve"> </v>
      </c>
      <c r="AI34" s="32"/>
      <c r="AJ34" s="32"/>
      <c r="AK34" s="53"/>
      <c r="AL34" s="21" t="str">
        <f>IFERROR(VLOOKUP(January[[#This Row],[Drug Name5]],'Data Options'!$R$1:$S$100,2,FALSE), " ")</f>
        <v xml:space="preserve"> </v>
      </c>
      <c r="AM34" s="32"/>
      <c r="AN34" s="32"/>
      <c r="AO34" s="53"/>
      <c r="AP34" s="21" t="str">
        <f>IFERROR(VLOOKUP(January[[#This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21" t="str">
        <f>IFERROR(VLOOKUP(January[[#This Row],[Drug Name7]],'Data Options'!$R$1:$S$100,2,FALSE), " ")</f>
        <v xml:space="preserve"> </v>
      </c>
      <c r="AZ34" s="32"/>
      <c r="BA34" s="32"/>
      <c r="BB34" s="53"/>
      <c r="BC34" s="21" t="str">
        <f>IFERROR(VLOOKUP(January[[#This Row],[Drug Name8]],'Data Options'!$R$1:$S$100,2,FALSE), " ")</f>
        <v xml:space="preserve"> </v>
      </c>
      <c r="BD34" s="32"/>
      <c r="BE34" s="32"/>
      <c r="BF34" s="53"/>
      <c r="BG34" s="21" t="str">
        <f>IFERROR(VLOOKUP(January[[#This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21" t="str">
        <f>IFERROR(VLOOKUP(January[[#This Row],[Drug Name]],'Data Options'!$R$1:$S$100,2,FALSE), " ")</f>
        <v xml:space="preserve"> </v>
      </c>
      <c r="R35" s="32"/>
      <c r="S35" s="32"/>
      <c r="T35" s="53"/>
      <c r="U35" s="21" t="str">
        <f>IFERROR(VLOOKUP(January[[#This Row],[Drug Name2]],'Data Options'!$R$1:$S$100,2,FALSE), " ")</f>
        <v xml:space="preserve"> </v>
      </c>
      <c r="V35" s="32"/>
      <c r="W35" s="32"/>
      <c r="X35" s="53"/>
      <c r="Y35" s="21" t="str">
        <f>IFERROR(VLOOKUP(January[[#This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21" t="str">
        <f>IFERROR(VLOOKUP(January[[#This Row],[Drug Name4]],'Data Options'!$R$1:$S$100,2,FALSE), " ")</f>
        <v xml:space="preserve"> </v>
      </c>
      <c r="AI35" s="32"/>
      <c r="AJ35" s="32"/>
      <c r="AK35" s="53"/>
      <c r="AL35" s="21" t="str">
        <f>IFERROR(VLOOKUP(January[[#This Row],[Drug Name5]],'Data Options'!$R$1:$S$100,2,FALSE), " ")</f>
        <v xml:space="preserve"> </v>
      </c>
      <c r="AM35" s="32"/>
      <c r="AN35" s="32"/>
      <c r="AO35" s="53"/>
      <c r="AP35" s="21" t="str">
        <f>IFERROR(VLOOKUP(January[[#This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21" t="str">
        <f>IFERROR(VLOOKUP(January[[#This Row],[Drug Name7]],'Data Options'!$R$1:$S$100,2,FALSE), " ")</f>
        <v xml:space="preserve"> </v>
      </c>
      <c r="AZ35" s="32"/>
      <c r="BA35" s="32"/>
      <c r="BB35" s="53"/>
      <c r="BC35" s="21" t="str">
        <f>IFERROR(VLOOKUP(January[[#This Row],[Drug Name8]],'Data Options'!$R$1:$S$100,2,FALSE), " ")</f>
        <v xml:space="preserve"> </v>
      </c>
      <c r="BD35" s="32"/>
      <c r="BE35" s="32"/>
      <c r="BF35" s="53"/>
      <c r="BG35" s="21" t="str">
        <f>IFERROR(VLOOKUP(January[[#This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21" t="str">
        <f>IFERROR(VLOOKUP(January[[#This Row],[Drug Name]],'Data Options'!$R$1:$S$100,2,FALSE), " ")</f>
        <v xml:space="preserve"> </v>
      </c>
      <c r="R36" s="32"/>
      <c r="S36" s="32"/>
      <c r="T36" s="53"/>
      <c r="U36" s="21" t="str">
        <f>IFERROR(VLOOKUP(January[[#This Row],[Drug Name2]],'Data Options'!$R$1:$S$100,2,FALSE), " ")</f>
        <v xml:space="preserve"> </v>
      </c>
      <c r="V36" s="32"/>
      <c r="W36" s="32"/>
      <c r="X36" s="53"/>
      <c r="Y36" s="21" t="str">
        <f>IFERROR(VLOOKUP(January[[#This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21" t="str">
        <f>IFERROR(VLOOKUP(January[[#This Row],[Drug Name4]],'Data Options'!$R$1:$S$100,2,FALSE), " ")</f>
        <v xml:space="preserve"> </v>
      </c>
      <c r="AI36" s="32"/>
      <c r="AJ36" s="32"/>
      <c r="AK36" s="53"/>
      <c r="AL36" s="21" t="str">
        <f>IFERROR(VLOOKUP(January[[#This Row],[Drug Name5]],'Data Options'!$R$1:$S$100,2,FALSE), " ")</f>
        <v xml:space="preserve"> </v>
      </c>
      <c r="AM36" s="32"/>
      <c r="AN36" s="32"/>
      <c r="AO36" s="53"/>
      <c r="AP36" s="21" t="str">
        <f>IFERROR(VLOOKUP(January[[#This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21" t="str">
        <f>IFERROR(VLOOKUP(January[[#This Row],[Drug Name7]],'Data Options'!$R$1:$S$100,2,FALSE), " ")</f>
        <v xml:space="preserve"> </v>
      </c>
      <c r="AZ36" s="32"/>
      <c r="BA36" s="32"/>
      <c r="BB36" s="53"/>
      <c r="BC36" s="21" t="str">
        <f>IFERROR(VLOOKUP(January[[#This Row],[Drug Name8]],'Data Options'!$R$1:$S$100,2,FALSE), " ")</f>
        <v xml:space="preserve"> </v>
      </c>
      <c r="BD36" s="32"/>
      <c r="BE36" s="32"/>
      <c r="BF36" s="53"/>
      <c r="BG36" s="21" t="str">
        <f>IFERROR(VLOOKUP(January[[#This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21" t="str">
        <f>IFERROR(VLOOKUP(January[[#This Row],[Drug Name]],'Data Options'!$R$1:$S$100,2,FALSE), " ")</f>
        <v xml:space="preserve"> </v>
      </c>
      <c r="R37" s="32"/>
      <c r="S37" s="32"/>
      <c r="T37" s="53"/>
      <c r="U37" s="21" t="str">
        <f>IFERROR(VLOOKUP(January[[#This Row],[Drug Name2]],'Data Options'!$R$1:$S$100,2,FALSE), " ")</f>
        <v xml:space="preserve"> </v>
      </c>
      <c r="V37" s="32"/>
      <c r="W37" s="32"/>
      <c r="X37" s="53"/>
      <c r="Y37" s="21" t="str">
        <f>IFERROR(VLOOKUP(January[[#This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21" t="str">
        <f>IFERROR(VLOOKUP(January[[#This Row],[Drug Name4]],'Data Options'!$R$1:$S$100,2,FALSE), " ")</f>
        <v xml:space="preserve"> </v>
      </c>
      <c r="AI37" s="32"/>
      <c r="AJ37" s="32"/>
      <c r="AK37" s="53"/>
      <c r="AL37" s="21" t="str">
        <f>IFERROR(VLOOKUP(January[[#This Row],[Drug Name5]],'Data Options'!$R$1:$S$100,2,FALSE), " ")</f>
        <v xml:space="preserve"> </v>
      </c>
      <c r="AM37" s="32"/>
      <c r="AN37" s="32"/>
      <c r="AO37" s="53"/>
      <c r="AP37" s="21" t="str">
        <f>IFERROR(VLOOKUP(January[[#This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21" t="str">
        <f>IFERROR(VLOOKUP(January[[#This Row],[Drug Name7]],'Data Options'!$R$1:$S$100,2,FALSE), " ")</f>
        <v xml:space="preserve"> </v>
      </c>
      <c r="AZ37" s="32"/>
      <c r="BA37" s="32"/>
      <c r="BB37" s="53"/>
      <c r="BC37" s="21" t="str">
        <f>IFERROR(VLOOKUP(January[[#This Row],[Drug Name8]],'Data Options'!$R$1:$S$100,2,FALSE), " ")</f>
        <v xml:space="preserve"> </v>
      </c>
      <c r="BD37" s="32"/>
      <c r="BE37" s="32"/>
      <c r="BF37" s="53"/>
      <c r="BG37" s="21" t="str">
        <f>IFERROR(VLOOKUP(January[[#This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21" t="str">
        <f>IFERROR(VLOOKUP(January[[#This Row],[Drug Name]],'Data Options'!$R$1:$S$100,2,FALSE), " ")</f>
        <v xml:space="preserve"> </v>
      </c>
      <c r="R38" s="32"/>
      <c r="S38" s="32"/>
      <c r="T38" s="53"/>
      <c r="U38" s="21" t="str">
        <f>IFERROR(VLOOKUP(January[[#This Row],[Drug Name2]],'Data Options'!$R$1:$S$100,2,FALSE), " ")</f>
        <v xml:space="preserve"> </v>
      </c>
      <c r="V38" s="32"/>
      <c r="W38" s="32"/>
      <c r="X38" s="53"/>
      <c r="Y38" s="21" t="str">
        <f>IFERROR(VLOOKUP(January[[#This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21" t="str">
        <f>IFERROR(VLOOKUP(January[[#This Row],[Drug Name4]],'Data Options'!$R$1:$S$100,2,FALSE), " ")</f>
        <v xml:space="preserve"> </v>
      </c>
      <c r="AI38" s="32"/>
      <c r="AJ38" s="32"/>
      <c r="AK38" s="53"/>
      <c r="AL38" s="21" t="str">
        <f>IFERROR(VLOOKUP(January[[#This Row],[Drug Name5]],'Data Options'!$R$1:$S$100,2,FALSE), " ")</f>
        <v xml:space="preserve"> </v>
      </c>
      <c r="AM38" s="32"/>
      <c r="AN38" s="32"/>
      <c r="AO38" s="53"/>
      <c r="AP38" s="21" t="str">
        <f>IFERROR(VLOOKUP(January[[#This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21" t="str">
        <f>IFERROR(VLOOKUP(January[[#This Row],[Drug Name7]],'Data Options'!$R$1:$S$100,2,FALSE), " ")</f>
        <v xml:space="preserve"> </v>
      </c>
      <c r="AZ38" s="32"/>
      <c r="BA38" s="32"/>
      <c r="BB38" s="53"/>
      <c r="BC38" s="21" t="str">
        <f>IFERROR(VLOOKUP(January[[#This Row],[Drug Name8]],'Data Options'!$R$1:$S$100,2,FALSE), " ")</f>
        <v xml:space="preserve"> </v>
      </c>
      <c r="BD38" s="32"/>
      <c r="BE38" s="32"/>
      <c r="BF38" s="53"/>
      <c r="BG38" s="21" t="str">
        <f>IFERROR(VLOOKUP(January[[#This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21" t="str">
        <f>IFERROR(VLOOKUP(January[[#This Row],[Drug Name]],'Data Options'!$R$1:$S$100,2,FALSE), " ")</f>
        <v xml:space="preserve"> </v>
      </c>
      <c r="R39" s="32"/>
      <c r="S39" s="32"/>
      <c r="T39" s="53"/>
      <c r="U39" s="21" t="str">
        <f>IFERROR(VLOOKUP(January[[#This Row],[Drug Name2]],'Data Options'!$R$1:$S$100,2,FALSE), " ")</f>
        <v xml:space="preserve"> </v>
      </c>
      <c r="V39" s="32"/>
      <c r="W39" s="32"/>
      <c r="X39" s="53"/>
      <c r="Y39" s="21" t="str">
        <f>IFERROR(VLOOKUP(January[[#This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21" t="str">
        <f>IFERROR(VLOOKUP(January[[#This Row],[Drug Name4]],'Data Options'!$R$1:$S$100,2,FALSE), " ")</f>
        <v xml:space="preserve"> </v>
      </c>
      <c r="AI39" s="32"/>
      <c r="AJ39" s="32"/>
      <c r="AK39" s="53"/>
      <c r="AL39" s="21" t="str">
        <f>IFERROR(VLOOKUP(January[[#This Row],[Drug Name5]],'Data Options'!$R$1:$S$100,2,FALSE), " ")</f>
        <v xml:space="preserve"> </v>
      </c>
      <c r="AM39" s="32"/>
      <c r="AN39" s="32"/>
      <c r="AO39" s="53"/>
      <c r="AP39" s="21" t="str">
        <f>IFERROR(VLOOKUP(January[[#This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21" t="str">
        <f>IFERROR(VLOOKUP(January[[#This Row],[Drug Name7]],'Data Options'!$R$1:$S$100,2,FALSE), " ")</f>
        <v xml:space="preserve"> </v>
      </c>
      <c r="AZ39" s="32"/>
      <c r="BA39" s="32"/>
      <c r="BB39" s="53"/>
      <c r="BC39" s="21" t="str">
        <f>IFERROR(VLOOKUP(January[[#This Row],[Drug Name8]],'Data Options'!$R$1:$S$100,2,FALSE), " ")</f>
        <v xml:space="preserve"> </v>
      </c>
      <c r="BD39" s="32"/>
      <c r="BE39" s="32"/>
      <c r="BF39" s="53"/>
      <c r="BG39" s="21" t="str">
        <f>IFERROR(VLOOKUP(January[[#This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21" t="str">
        <f>IFERROR(VLOOKUP(January[[#This Row],[Drug Name]],'Data Options'!$R$1:$S$100,2,FALSE), " ")</f>
        <v xml:space="preserve"> </v>
      </c>
      <c r="R40" s="32"/>
      <c r="S40" s="32"/>
      <c r="T40" s="53"/>
      <c r="U40" s="21" t="str">
        <f>IFERROR(VLOOKUP(January[[#This Row],[Drug Name2]],'Data Options'!$R$1:$S$100,2,FALSE), " ")</f>
        <v xml:space="preserve"> </v>
      </c>
      <c r="V40" s="32"/>
      <c r="W40" s="32"/>
      <c r="X40" s="53"/>
      <c r="Y40" s="21" t="str">
        <f>IFERROR(VLOOKUP(January[[#This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21" t="str">
        <f>IFERROR(VLOOKUP(January[[#This Row],[Drug Name4]],'Data Options'!$R$1:$S$100,2,FALSE), " ")</f>
        <v xml:space="preserve"> </v>
      </c>
      <c r="AI40" s="32"/>
      <c r="AJ40" s="32"/>
      <c r="AK40" s="53"/>
      <c r="AL40" s="21" t="str">
        <f>IFERROR(VLOOKUP(January[[#This Row],[Drug Name5]],'Data Options'!$R$1:$S$100,2,FALSE), " ")</f>
        <v xml:space="preserve"> </v>
      </c>
      <c r="AM40" s="32"/>
      <c r="AN40" s="32"/>
      <c r="AO40" s="53"/>
      <c r="AP40" s="21" t="str">
        <f>IFERROR(VLOOKUP(January[[#This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21" t="str">
        <f>IFERROR(VLOOKUP(January[[#This Row],[Drug Name7]],'Data Options'!$R$1:$S$100,2,FALSE), " ")</f>
        <v xml:space="preserve"> </v>
      </c>
      <c r="AZ40" s="32"/>
      <c r="BA40" s="32"/>
      <c r="BB40" s="53"/>
      <c r="BC40" s="21" t="str">
        <f>IFERROR(VLOOKUP(January[[#This Row],[Drug Name8]],'Data Options'!$R$1:$S$100,2,FALSE), " ")</f>
        <v xml:space="preserve"> </v>
      </c>
      <c r="BD40" s="32"/>
      <c r="BE40" s="32"/>
      <c r="BF40" s="53"/>
      <c r="BG40" s="21" t="str">
        <f>IFERROR(VLOOKUP(January[[#This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21" t="str">
        <f>IFERROR(VLOOKUP(January[[#This Row],[Drug Name]],'Data Options'!$R$1:$S$100,2,FALSE), " ")</f>
        <v xml:space="preserve"> </v>
      </c>
      <c r="R41" s="32"/>
      <c r="S41" s="32"/>
      <c r="T41" s="53"/>
      <c r="U41" s="21" t="str">
        <f>IFERROR(VLOOKUP(January[[#This Row],[Drug Name2]],'Data Options'!$R$1:$S$100,2,FALSE), " ")</f>
        <v xml:space="preserve"> </v>
      </c>
      <c r="V41" s="32"/>
      <c r="W41" s="32"/>
      <c r="X41" s="53"/>
      <c r="Y41" s="21" t="str">
        <f>IFERROR(VLOOKUP(January[[#This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21" t="str">
        <f>IFERROR(VLOOKUP(January[[#This Row],[Drug Name4]],'Data Options'!$R$1:$S$100,2,FALSE), " ")</f>
        <v xml:space="preserve"> </v>
      </c>
      <c r="AI41" s="32"/>
      <c r="AJ41" s="32"/>
      <c r="AK41" s="53"/>
      <c r="AL41" s="21" t="str">
        <f>IFERROR(VLOOKUP(January[[#This Row],[Drug Name5]],'Data Options'!$R$1:$S$100,2,FALSE), " ")</f>
        <v xml:space="preserve"> </v>
      </c>
      <c r="AM41" s="32"/>
      <c r="AN41" s="32"/>
      <c r="AO41" s="53"/>
      <c r="AP41" s="21" t="str">
        <f>IFERROR(VLOOKUP(January[[#This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21" t="str">
        <f>IFERROR(VLOOKUP(January[[#This Row],[Drug Name7]],'Data Options'!$R$1:$S$100,2,FALSE), " ")</f>
        <v xml:space="preserve"> </v>
      </c>
      <c r="AZ41" s="32"/>
      <c r="BA41" s="32"/>
      <c r="BB41" s="53"/>
      <c r="BC41" s="21" t="str">
        <f>IFERROR(VLOOKUP(January[[#This Row],[Drug Name8]],'Data Options'!$R$1:$S$100,2,FALSE), " ")</f>
        <v xml:space="preserve"> </v>
      </c>
      <c r="BD41" s="32"/>
      <c r="BE41" s="32"/>
      <c r="BF41" s="53"/>
      <c r="BG41" s="21" t="str">
        <f>IFERROR(VLOOKUP(January[[#This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21" t="str">
        <f>IFERROR(VLOOKUP(January[[#This Row],[Drug Name]],'Data Options'!$R$1:$S$100,2,FALSE), " ")</f>
        <v xml:space="preserve"> </v>
      </c>
      <c r="R42" s="32"/>
      <c r="S42" s="32"/>
      <c r="T42" s="53"/>
      <c r="U42" s="21" t="str">
        <f>IFERROR(VLOOKUP(January[[#This Row],[Drug Name2]],'Data Options'!$R$1:$S$100,2,FALSE), " ")</f>
        <v xml:space="preserve"> </v>
      </c>
      <c r="V42" s="32"/>
      <c r="W42" s="32"/>
      <c r="X42" s="53"/>
      <c r="Y42" s="21" t="str">
        <f>IFERROR(VLOOKUP(January[[#This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21" t="str">
        <f>IFERROR(VLOOKUP(January[[#This Row],[Drug Name4]],'Data Options'!$R$1:$S$100,2,FALSE), " ")</f>
        <v xml:space="preserve"> </v>
      </c>
      <c r="AI42" s="32"/>
      <c r="AJ42" s="32"/>
      <c r="AK42" s="53"/>
      <c r="AL42" s="21" t="str">
        <f>IFERROR(VLOOKUP(January[[#This Row],[Drug Name5]],'Data Options'!$R$1:$S$100,2,FALSE), " ")</f>
        <v xml:space="preserve"> </v>
      </c>
      <c r="AM42" s="32"/>
      <c r="AN42" s="32"/>
      <c r="AO42" s="53"/>
      <c r="AP42" s="21" t="str">
        <f>IFERROR(VLOOKUP(January[[#This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21" t="str">
        <f>IFERROR(VLOOKUP(January[[#This Row],[Drug Name7]],'Data Options'!$R$1:$S$100,2,FALSE), " ")</f>
        <v xml:space="preserve"> </v>
      </c>
      <c r="AZ42" s="32"/>
      <c r="BA42" s="32"/>
      <c r="BB42" s="53"/>
      <c r="BC42" s="21" t="str">
        <f>IFERROR(VLOOKUP(January[[#This Row],[Drug Name8]],'Data Options'!$R$1:$S$100,2,FALSE), " ")</f>
        <v xml:space="preserve"> </v>
      </c>
      <c r="BD42" s="32"/>
      <c r="BE42" s="32"/>
      <c r="BF42" s="53"/>
      <c r="BG42" s="21" t="str">
        <f>IFERROR(VLOOKUP(January[[#This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21" t="str">
        <f>IFERROR(VLOOKUP(January[[#This Row],[Drug Name]],'Data Options'!$R$1:$S$100,2,FALSE), " ")</f>
        <v xml:space="preserve"> </v>
      </c>
      <c r="R43" s="32"/>
      <c r="S43" s="32"/>
      <c r="T43" s="53"/>
      <c r="U43" s="21" t="str">
        <f>IFERROR(VLOOKUP(January[[#This Row],[Drug Name2]],'Data Options'!$R$1:$S$100,2,FALSE), " ")</f>
        <v xml:space="preserve"> </v>
      </c>
      <c r="V43" s="32"/>
      <c r="W43" s="32"/>
      <c r="X43" s="53"/>
      <c r="Y43" s="21" t="str">
        <f>IFERROR(VLOOKUP(January[[#This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21" t="str">
        <f>IFERROR(VLOOKUP(January[[#This Row],[Drug Name4]],'Data Options'!$R$1:$S$100,2,FALSE), " ")</f>
        <v xml:space="preserve"> </v>
      </c>
      <c r="AI43" s="32"/>
      <c r="AJ43" s="32"/>
      <c r="AK43" s="53"/>
      <c r="AL43" s="21" t="str">
        <f>IFERROR(VLOOKUP(January[[#This Row],[Drug Name5]],'Data Options'!$R$1:$S$100,2,FALSE), " ")</f>
        <v xml:space="preserve"> </v>
      </c>
      <c r="AM43" s="32"/>
      <c r="AN43" s="32"/>
      <c r="AO43" s="53"/>
      <c r="AP43" s="21" t="str">
        <f>IFERROR(VLOOKUP(January[[#This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21" t="str">
        <f>IFERROR(VLOOKUP(January[[#This Row],[Drug Name7]],'Data Options'!$R$1:$S$100,2,FALSE), " ")</f>
        <v xml:space="preserve"> </v>
      </c>
      <c r="AZ43" s="32"/>
      <c r="BA43" s="32"/>
      <c r="BB43" s="53"/>
      <c r="BC43" s="21" t="str">
        <f>IFERROR(VLOOKUP(January[[#This Row],[Drug Name8]],'Data Options'!$R$1:$S$100,2,FALSE), " ")</f>
        <v xml:space="preserve"> </v>
      </c>
      <c r="BD43" s="32"/>
      <c r="BE43" s="32"/>
      <c r="BF43" s="53"/>
      <c r="BG43" s="21" t="str">
        <f>IFERROR(VLOOKUP(January[[#This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21" t="str">
        <f>IFERROR(VLOOKUP(January[[#This Row],[Drug Name]],'Data Options'!$R$1:$S$100,2,FALSE), " ")</f>
        <v xml:space="preserve"> </v>
      </c>
      <c r="R44" s="32"/>
      <c r="S44" s="32"/>
      <c r="T44" s="53"/>
      <c r="U44" s="21" t="str">
        <f>IFERROR(VLOOKUP(January[[#This Row],[Drug Name2]],'Data Options'!$R$1:$S$100,2,FALSE), " ")</f>
        <v xml:space="preserve"> </v>
      </c>
      <c r="V44" s="32"/>
      <c r="W44" s="32"/>
      <c r="X44" s="53"/>
      <c r="Y44" s="21" t="str">
        <f>IFERROR(VLOOKUP(January[[#This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21" t="str">
        <f>IFERROR(VLOOKUP(January[[#This Row],[Drug Name4]],'Data Options'!$R$1:$S$100,2,FALSE), " ")</f>
        <v xml:space="preserve"> </v>
      </c>
      <c r="AI44" s="32"/>
      <c r="AJ44" s="32"/>
      <c r="AK44" s="53"/>
      <c r="AL44" s="21" t="str">
        <f>IFERROR(VLOOKUP(January[[#This Row],[Drug Name5]],'Data Options'!$R$1:$S$100,2,FALSE), " ")</f>
        <v xml:space="preserve"> </v>
      </c>
      <c r="AM44" s="32"/>
      <c r="AN44" s="32"/>
      <c r="AO44" s="53"/>
      <c r="AP44" s="21" t="str">
        <f>IFERROR(VLOOKUP(January[[#This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21" t="str">
        <f>IFERROR(VLOOKUP(January[[#This Row],[Drug Name7]],'Data Options'!$R$1:$S$100,2,FALSE), " ")</f>
        <v xml:space="preserve"> </v>
      </c>
      <c r="AZ44" s="32"/>
      <c r="BA44" s="32"/>
      <c r="BB44" s="53"/>
      <c r="BC44" s="21" t="str">
        <f>IFERROR(VLOOKUP(January[[#This Row],[Drug Name8]],'Data Options'!$R$1:$S$100,2,FALSE), " ")</f>
        <v xml:space="preserve"> </v>
      </c>
      <c r="BD44" s="32"/>
      <c r="BE44" s="32"/>
      <c r="BF44" s="53"/>
      <c r="BG44" s="21" t="str">
        <f>IFERROR(VLOOKUP(January[[#This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21" t="str">
        <f>IFERROR(VLOOKUP(January[[#This Row],[Drug Name]],'Data Options'!$R$1:$S$100,2,FALSE), " ")</f>
        <v xml:space="preserve"> </v>
      </c>
      <c r="R45" s="32"/>
      <c r="S45" s="32"/>
      <c r="T45" s="53"/>
      <c r="U45" s="21" t="str">
        <f>IFERROR(VLOOKUP(January[[#This Row],[Drug Name2]],'Data Options'!$R$1:$S$100,2,FALSE), " ")</f>
        <v xml:space="preserve"> </v>
      </c>
      <c r="V45" s="32"/>
      <c r="W45" s="32"/>
      <c r="X45" s="53"/>
      <c r="Y45" s="21" t="str">
        <f>IFERROR(VLOOKUP(January[[#This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21" t="str">
        <f>IFERROR(VLOOKUP(January[[#This Row],[Drug Name4]],'Data Options'!$R$1:$S$100,2,FALSE), " ")</f>
        <v xml:space="preserve"> </v>
      </c>
      <c r="AI45" s="32"/>
      <c r="AJ45" s="32"/>
      <c r="AK45" s="53"/>
      <c r="AL45" s="21" t="str">
        <f>IFERROR(VLOOKUP(January[[#This Row],[Drug Name5]],'Data Options'!$R$1:$S$100,2,FALSE), " ")</f>
        <v xml:space="preserve"> </v>
      </c>
      <c r="AM45" s="32"/>
      <c r="AN45" s="32"/>
      <c r="AO45" s="53"/>
      <c r="AP45" s="21" t="str">
        <f>IFERROR(VLOOKUP(January[[#This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21" t="str">
        <f>IFERROR(VLOOKUP(January[[#This Row],[Drug Name7]],'Data Options'!$R$1:$S$100,2,FALSE), " ")</f>
        <v xml:space="preserve"> </v>
      </c>
      <c r="AZ45" s="32"/>
      <c r="BA45" s="32"/>
      <c r="BB45" s="53"/>
      <c r="BC45" s="21" t="str">
        <f>IFERROR(VLOOKUP(January[[#This Row],[Drug Name8]],'Data Options'!$R$1:$S$100,2,FALSE), " ")</f>
        <v xml:space="preserve"> </v>
      </c>
      <c r="BD45" s="32"/>
      <c r="BE45" s="32"/>
      <c r="BF45" s="53"/>
      <c r="BG45" s="21" t="str">
        <f>IFERROR(VLOOKUP(January[[#This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21" t="str">
        <f>IFERROR(VLOOKUP(January[[#This Row],[Drug Name]],'Data Options'!$R$1:$S$100,2,FALSE), " ")</f>
        <v xml:space="preserve"> </v>
      </c>
      <c r="R46" s="32"/>
      <c r="S46" s="32"/>
      <c r="T46" s="53"/>
      <c r="U46" s="21" t="str">
        <f>IFERROR(VLOOKUP(January[[#This Row],[Drug Name2]],'Data Options'!$R$1:$S$100,2,FALSE), " ")</f>
        <v xml:space="preserve"> </v>
      </c>
      <c r="V46" s="32"/>
      <c r="W46" s="32"/>
      <c r="X46" s="53"/>
      <c r="Y46" s="21" t="str">
        <f>IFERROR(VLOOKUP(January[[#This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21" t="str">
        <f>IFERROR(VLOOKUP(January[[#This Row],[Drug Name4]],'Data Options'!$R$1:$S$100,2,FALSE), " ")</f>
        <v xml:space="preserve"> </v>
      </c>
      <c r="AI46" s="32"/>
      <c r="AJ46" s="32"/>
      <c r="AK46" s="53"/>
      <c r="AL46" s="21" t="str">
        <f>IFERROR(VLOOKUP(January[[#This Row],[Drug Name5]],'Data Options'!$R$1:$S$100,2,FALSE), " ")</f>
        <v xml:space="preserve"> </v>
      </c>
      <c r="AM46" s="32"/>
      <c r="AN46" s="32"/>
      <c r="AO46" s="53"/>
      <c r="AP46" s="21" t="str">
        <f>IFERROR(VLOOKUP(January[[#This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21" t="str">
        <f>IFERROR(VLOOKUP(January[[#This Row],[Drug Name7]],'Data Options'!$R$1:$S$100,2,FALSE), " ")</f>
        <v xml:space="preserve"> </v>
      </c>
      <c r="AZ46" s="32"/>
      <c r="BA46" s="32"/>
      <c r="BB46" s="53"/>
      <c r="BC46" s="21" t="str">
        <f>IFERROR(VLOOKUP(January[[#This Row],[Drug Name8]],'Data Options'!$R$1:$S$100,2,FALSE), " ")</f>
        <v xml:space="preserve"> </v>
      </c>
      <c r="BD46" s="32"/>
      <c r="BE46" s="32"/>
      <c r="BF46" s="53"/>
      <c r="BG46" s="21" t="str">
        <f>IFERROR(VLOOKUP(January[[#This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21" t="str">
        <f>IFERROR(VLOOKUP(January[[#This Row],[Drug Name]],'Data Options'!$R$1:$S$100,2,FALSE), " ")</f>
        <v xml:space="preserve"> </v>
      </c>
      <c r="R47" s="32"/>
      <c r="S47" s="32"/>
      <c r="T47" s="53"/>
      <c r="U47" s="21" t="str">
        <f>IFERROR(VLOOKUP(January[[#This Row],[Drug Name2]],'Data Options'!$R$1:$S$100,2,FALSE), " ")</f>
        <v xml:space="preserve"> </v>
      </c>
      <c r="V47" s="32"/>
      <c r="W47" s="32"/>
      <c r="X47" s="53"/>
      <c r="Y47" s="21" t="str">
        <f>IFERROR(VLOOKUP(January[[#This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21" t="str">
        <f>IFERROR(VLOOKUP(January[[#This Row],[Drug Name4]],'Data Options'!$R$1:$S$100,2,FALSE), " ")</f>
        <v xml:space="preserve"> </v>
      </c>
      <c r="AI47" s="32"/>
      <c r="AJ47" s="32"/>
      <c r="AK47" s="53"/>
      <c r="AL47" s="21" t="str">
        <f>IFERROR(VLOOKUP(January[[#This Row],[Drug Name5]],'Data Options'!$R$1:$S$100,2,FALSE), " ")</f>
        <v xml:space="preserve"> </v>
      </c>
      <c r="AM47" s="32"/>
      <c r="AN47" s="32"/>
      <c r="AO47" s="53"/>
      <c r="AP47" s="21" t="str">
        <f>IFERROR(VLOOKUP(January[[#This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21" t="str">
        <f>IFERROR(VLOOKUP(January[[#This Row],[Drug Name7]],'Data Options'!$R$1:$S$100,2,FALSE), " ")</f>
        <v xml:space="preserve"> </v>
      </c>
      <c r="AZ47" s="32"/>
      <c r="BA47" s="32"/>
      <c r="BB47" s="53"/>
      <c r="BC47" s="21" t="str">
        <f>IFERROR(VLOOKUP(January[[#This Row],[Drug Name8]],'Data Options'!$R$1:$S$100,2,FALSE), " ")</f>
        <v xml:space="preserve"> </v>
      </c>
      <c r="BD47" s="32"/>
      <c r="BE47" s="32"/>
      <c r="BF47" s="53"/>
      <c r="BG47" s="21" t="str">
        <f>IFERROR(VLOOKUP(January[[#This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21" t="str">
        <f>IFERROR(VLOOKUP(January[[#This Row],[Drug Name]],'Data Options'!$R$1:$S$100,2,FALSE), " ")</f>
        <v xml:space="preserve"> </v>
      </c>
      <c r="R48" s="32"/>
      <c r="S48" s="32"/>
      <c r="T48" s="53"/>
      <c r="U48" s="21" t="str">
        <f>IFERROR(VLOOKUP(January[[#This Row],[Drug Name2]],'Data Options'!$R$1:$S$100,2,FALSE), " ")</f>
        <v xml:space="preserve"> </v>
      </c>
      <c r="V48" s="32"/>
      <c r="W48" s="32"/>
      <c r="X48" s="53"/>
      <c r="Y48" s="21" t="str">
        <f>IFERROR(VLOOKUP(January[[#This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21" t="str">
        <f>IFERROR(VLOOKUP(January[[#This Row],[Drug Name4]],'Data Options'!$R$1:$S$100,2,FALSE), " ")</f>
        <v xml:space="preserve"> </v>
      </c>
      <c r="AI48" s="32"/>
      <c r="AJ48" s="32"/>
      <c r="AK48" s="53"/>
      <c r="AL48" s="21" t="str">
        <f>IFERROR(VLOOKUP(January[[#This Row],[Drug Name5]],'Data Options'!$R$1:$S$100,2,FALSE), " ")</f>
        <v xml:space="preserve"> </v>
      </c>
      <c r="AM48" s="32"/>
      <c r="AN48" s="32"/>
      <c r="AO48" s="53"/>
      <c r="AP48" s="21" t="str">
        <f>IFERROR(VLOOKUP(January[[#This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21" t="str">
        <f>IFERROR(VLOOKUP(January[[#This Row],[Drug Name7]],'Data Options'!$R$1:$S$100,2,FALSE), " ")</f>
        <v xml:space="preserve"> </v>
      </c>
      <c r="AZ48" s="32"/>
      <c r="BA48" s="32"/>
      <c r="BB48" s="53"/>
      <c r="BC48" s="21" t="str">
        <f>IFERROR(VLOOKUP(January[[#This Row],[Drug Name8]],'Data Options'!$R$1:$S$100,2,FALSE), " ")</f>
        <v xml:space="preserve"> </v>
      </c>
      <c r="BD48" s="32"/>
      <c r="BE48" s="32"/>
      <c r="BF48" s="53"/>
      <c r="BG48" s="21" t="str">
        <f>IFERROR(VLOOKUP(January[[#This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21" t="str">
        <f>IFERROR(VLOOKUP(January[[#This Row],[Drug Name]],'Data Options'!$R$1:$S$100,2,FALSE), " ")</f>
        <v xml:space="preserve"> </v>
      </c>
      <c r="R49" s="32"/>
      <c r="S49" s="32"/>
      <c r="T49" s="53"/>
      <c r="U49" s="21" t="str">
        <f>IFERROR(VLOOKUP(January[[#This Row],[Drug Name2]],'Data Options'!$R$1:$S$100,2,FALSE), " ")</f>
        <v xml:space="preserve"> </v>
      </c>
      <c r="V49" s="32"/>
      <c r="W49" s="32"/>
      <c r="X49" s="53"/>
      <c r="Y49" s="21" t="str">
        <f>IFERROR(VLOOKUP(January[[#This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21" t="str">
        <f>IFERROR(VLOOKUP(January[[#This Row],[Drug Name4]],'Data Options'!$R$1:$S$100,2,FALSE), " ")</f>
        <v xml:space="preserve"> </v>
      </c>
      <c r="AI49" s="32"/>
      <c r="AJ49" s="32"/>
      <c r="AK49" s="53"/>
      <c r="AL49" s="21" t="str">
        <f>IFERROR(VLOOKUP(January[[#This Row],[Drug Name5]],'Data Options'!$R$1:$S$100,2,FALSE), " ")</f>
        <v xml:space="preserve"> </v>
      </c>
      <c r="AM49" s="32"/>
      <c r="AN49" s="32"/>
      <c r="AO49" s="53"/>
      <c r="AP49" s="21" t="str">
        <f>IFERROR(VLOOKUP(January[[#This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21" t="str">
        <f>IFERROR(VLOOKUP(January[[#This Row],[Drug Name7]],'Data Options'!$R$1:$S$100,2,FALSE), " ")</f>
        <v xml:space="preserve"> </v>
      </c>
      <c r="AZ49" s="32"/>
      <c r="BA49" s="32"/>
      <c r="BB49" s="53"/>
      <c r="BC49" s="21" t="str">
        <f>IFERROR(VLOOKUP(January[[#This Row],[Drug Name8]],'Data Options'!$R$1:$S$100,2,FALSE), " ")</f>
        <v xml:space="preserve"> </v>
      </c>
      <c r="BD49" s="32"/>
      <c r="BE49" s="32"/>
      <c r="BF49" s="53"/>
      <c r="BG49" s="21" t="str">
        <f>IFERROR(VLOOKUP(January[[#This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21" t="str">
        <f>IFERROR(VLOOKUP(January[[#This Row],[Drug Name]],'Data Options'!$R$1:$S$100,2,FALSE), " ")</f>
        <v xml:space="preserve"> </v>
      </c>
      <c r="R50" s="32"/>
      <c r="S50" s="32"/>
      <c r="T50" s="53"/>
      <c r="U50" s="21" t="str">
        <f>IFERROR(VLOOKUP(January[[#This Row],[Drug Name2]],'Data Options'!$R$1:$S$100,2,FALSE), " ")</f>
        <v xml:space="preserve"> </v>
      </c>
      <c r="V50" s="32"/>
      <c r="W50" s="32"/>
      <c r="X50" s="53"/>
      <c r="Y50" s="21" t="str">
        <f>IFERROR(VLOOKUP(January[[#This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21" t="str">
        <f>IFERROR(VLOOKUP(January[[#This Row],[Drug Name4]],'Data Options'!$R$1:$S$100,2,FALSE), " ")</f>
        <v xml:space="preserve"> </v>
      </c>
      <c r="AI50" s="32"/>
      <c r="AJ50" s="32"/>
      <c r="AK50" s="53"/>
      <c r="AL50" s="21" t="str">
        <f>IFERROR(VLOOKUP(January[[#This Row],[Drug Name5]],'Data Options'!$R$1:$S$100,2,FALSE), " ")</f>
        <v xml:space="preserve"> </v>
      </c>
      <c r="AM50" s="32"/>
      <c r="AN50" s="32"/>
      <c r="AO50" s="53"/>
      <c r="AP50" s="21" t="str">
        <f>IFERROR(VLOOKUP(January[[#This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21" t="str">
        <f>IFERROR(VLOOKUP(January[[#This Row],[Drug Name7]],'Data Options'!$R$1:$S$100,2,FALSE), " ")</f>
        <v xml:space="preserve"> </v>
      </c>
      <c r="AZ50" s="32"/>
      <c r="BA50" s="32"/>
      <c r="BB50" s="53"/>
      <c r="BC50" s="21" t="str">
        <f>IFERROR(VLOOKUP(January[[#This Row],[Drug Name8]],'Data Options'!$R$1:$S$100,2,FALSE), " ")</f>
        <v xml:space="preserve"> </v>
      </c>
      <c r="BD50" s="32"/>
      <c r="BE50" s="32"/>
      <c r="BF50" s="53"/>
      <c r="BG50" s="21" t="str">
        <f>IFERROR(VLOOKUP(January[[#This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21" t="str">
        <f>IFERROR(VLOOKUP(January[[#This Row],[Drug Name]],'Data Options'!$R$1:$S$100,2,FALSE), " ")</f>
        <v xml:space="preserve"> </v>
      </c>
      <c r="R51" s="32"/>
      <c r="S51" s="32"/>
      <c r="T51" s="53"/>
      <c r="U51" s="21" t="str">
        <f>IFERROR(VLOOKUP(January[[#This Row],[Drug Name2]],'Data Options'!$R$1:$S$100,2,FALSE), " ")</f>
        <v xml:space="preserve"> </v>
      </c>
      <c r="V51" s="32"/>
      <c r="W51" s="32"/>
      <c r="X51" s="53"/>
      <c r="Y51" s="21" t="str">
        <f>IFERROR(VLOOKUP(January[[#This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21" t="str">
        <f>IFERROR(VLOOKUP(January[[#This Row],[Drug Name4]],'Data Options'!$R$1:$S$100,2,FALSE), " ")</f>
        <v xml:space="preserve"> </v>
      </c>
      <c r="AI51" s="32"/>
      <c r="AJ51" s="32"/>
      <c r="AK51" s="53"/>
      <c r="AL51" s="21" t="str">
        <f>IFERROR(VLOOKUP(January[[#This Row],[Drug Name5]],'Data Options'!$R$1:$S$100,2,FALSE), " ")</f>
        <v xml:space="preserve"> </v>
      </c>
      <c r="AM51" s="32"/>
      <c r="AN51" s="32"/>
      <c r="AO51" s="53"/>
      <c r="AP51" s="21" t="str">
        <f>IFERROR(VLOOKUP(January[[#This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21" t="str">
        <f>IFERROR(VLOOKUP(January[[#This Row],[Drug Name7]],'Data Options'!$R$1:$S$100,2,FALSE), " ")</f>
        <v xml:space="preserve"> </v>
      </c>
      <c r="AZ51" s="32"/>
      <c r="BA51" s="32"/>
      <c r="BB51" s="53"/>
      <c r="BC51" s="21" t="str">
        <f>IFERROR(VLOOKUP(January[[#This Row],[Drug Name8]],'Data Options'!$R$1:$S$100,2,FALSE), " ")</f>
        <v xml:space="preserve"> </v>
      </c>
      <c r="BD51" s="32"/>
      <c r="BE51" s="32"/>
      <c r="BF51" s="53"/>
      <c r="BG51" s="21" t="str">
        <f>IFERROR(VLOOKUP(January[[#This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21" t="str">
        <f>IFERROR(VLOOKUP(January[[#This Row],[Drug Name]],'Data Options'!$R$1:$S$100,2,FALSE), " ")</f>
        <v xml:space="preserve"> </v>
      </c>
      <c r="R52" s="32"/>
      <c r="S52" s="32"/>
      <c r="T52" s="53"/>
      <c r="U52" s="21" t="str">
        <f>IFERROR(VLOOKUP(January[[#This Row],[Drug Name2]],'Data Options'!$R$1:$S$100,2,FALSE), " ")</f>
        <v xml:space="preserve"> </v>
      </c>
      <c r="V52" s="32"/>
      <c r="W52" s="32"/>
      <c r="X52" s="53"/>
      <c r="Y52" s="21" t="str">
        <f>IFERROR(VLOOKUP(January[[#This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21" t="str">
        <f>IFERROR(VLOOKUP(January[[#This Row],[Drug Name4]],'Data Options'!$R$1:$S$100,2,FALSE), " ")</f>
        <v xml:space="preserve"> </v>
      </c>
      <c r="AI52" s="32"/>
      <c r="AJ52" s="32"/>
      <c r="AK52" s="53"/>
      <c r="AL52" s="21" t="str">
        <f>IFERROR(VLOOKUP(January[[#This Row],[Drug Name5]],'Data Options'!$R$1:$S$100,2,FALSE), " ")</f>
        <v xml:space="preserve"> </v>
      </c>
      <c r="AM52" s="32"/>
      <c r="AN52" s="32"/>
      <c r="AO52" s="53"/>
      <c r="AP52" s="21" t="str">
        <f>IFERROR(VLOOKUP(January[[#This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21" t="str">
        <f>IFERROR(VLOOKUP(January[[#This Row],[Drug Name7]],'Data Options'!$R$1:$S$100,2,FALSE), " ")</f>
        <v xml:space="preserve"> </v>
      </c>
      <c r="AZ52" s="32"/>
      <c r="BA52" s="32"/>
      <c r="BB52" s="53"/>
      <c r="BC52" s="21" t="str">
        <f>IFERROR(VLOOKUP(January[[#This Row],[Drug Name8]],'Data Options'!$R$1:$S$100,2,FALSE), " ")</f>
        <v xml:space="preserve"> </v>
      </c>
      <c r="BD52" s="32"/>
      <c r="BE52" s="32"/>
      <c r="BF52" s="53"/>
      <c r="BG52" s="21" t="str">
        <f>IFERROR(VLOOKUP(January[[#This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21" t="str">
        <f>IFERROR(VLOOKUP(January[[#This Row],[Drug Name]],'Data Options'!$R$1:$S$100,2,FALSE), " ")</f>
        <v xml:space="preserve"> </v>
      </c>
      <c r="R53" s="32"/>
      <c r="S53" s="32"/>
      <c r="T53" s="53"/>
      <c r="U53" s="21" t="str">
        <f>IFERROR(VLOOKUP(January[[#This Row],[Drug Name2]],'Data Options'!$R$1:$S$100,2,FALSE), " ")</f>
        <v xml:space="preserve"> </v>
      </c>
      <c r="V53" s="32"/>
      <c r="W53" s="32"/>
      <c r="X53" s="53"/>
      <c r="Y53" s="21" t="str">
        <f>IFERROR(VLOOKUP(January[[#This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21" t="str">
        <f>IFERROR(VLOOKUP(January[[#This Row],[Drug Name4]],'Data Options'!$R$1:$S$100,2,FALSE), " ")</f>
        <v xml:space="preserve"> </v>
      </c>
      <c r="AI53" s="32"/>
      <c r="AJ53" s="32"/>
      <c r="AK53" s="53"/>
      <c r="AL53" s="21" t="str">
        <f>IFERROR(VLOOKUP(January[[#This Row],[Drug Name5]],'Data Options'!$R$1:$S$100,2,FALSE), " ")</f>
        <v xml:space="preserve"> </v>
      </c>
      <c r="AM53" s="32"/>
      <c r="AN53" s="32"/>
      <c r="AO53" s="53"/>
      <c r="AP53" s="21" t="str">
        <f>IFERROR(VLOOKUP(January[[#This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21" t="str">
        <f>IFERROR(VLOOKUP(January[[#This Row],[Drug Name7]],'Data Options'!$R$1:$S$100,2,FALSE), " ")</f>
        <v xml:space="preserve"> </v>
      </c>
      <c r="AZ53" s="32"/>
      <c r="BA53" s="32"/>
      <c r="BB53" s="53"/>
      <c r="BC53" s="21" t="str">
        <f>IFERROR(VLOOKUP(January[[#This Row],[Drug Name8]],'Data Options'!$R$1:$S$100,2,FALSE), " ")</f>
        <v xml:space="preserve"> </v>
      </c>
      <c r="BD53" s="32"/>
      <c r="BE53" s="32"/>
      <c r="BF53" s="53"/>
      <c r="BG53" s="21" t="str">
        <f>IFERROR(VLOOKUP(January[[#This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21" t="str">
        <f>IFERROR(VLOOKUP(January[[#This Row],[Drug Name]],'Data Options'!$R$1:$S$100,2,FALSE), " ")</f>
        <v xml:space="preserve"> </v>
      </c>
      <c r="R54" s="32"/>
      <c r="S54" s="32"/>
      <c r="T54" s="53"/>
      <c r="U54" s="21" t="str">
        <f>IFERROR(VLOOKUP(January[[#This Row],[Drug Name2]],'Data Options'!$R$1:$S$100,2,FALSE), " ")</f>
        <v xml:space="preserve"> </v>
      </c>
      <c r="V54" s="32"/>
      <c r="W54" s="32"/>
      <c r="X54" s="53"/>
      <c r="Y54" s="21" t="str">
        <f>IFERROR(VLOOKUP(January[[#This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21" t="str">
        <f>IFERROR(VLOOKUP(January[[#This Row],[Drug Name4]],'Data Options'!$R$1:$S$100,2,FALSE), " ")</f>
        <v xml:space="preserve"> </v>
      </c>
      <c r="AI54" s="32"/>
      <c r="AJ54" s="32"/>
      <c r="AK54" s="53"/>
      <c r="AL54" s="21" t="str">
        <f>IFERROR(VLOOKUP(January[[#This Row],[Drug Name5]],'Data Options'!$R$1:$S$100,2,FALSE), " ")</f>
        <v xml:space="preserve"> </v>
      </c>
      <c r="AM54" s="32"/>
      <c r="AN54" s="32"/>
      <c r="AO54" s="53"/>
      <c r="AP54" s="21" t="str">
        <f>IFERROR(VLOOKUP(January[[#This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21" t="str">
        <f>IFERROR(VLOOKUP(January[[#This Row],[Drug Name7]],'Data Options'!$R$1:$S$100,2,FALSE), " ")</f>
        <v xml:space="preserve"> </v>
      </c>
      <c r="AZ54" s="32"/>
      <c r="BA54" s="32"/>
      <c r="BB54" s="53"/>
      <c r="BC54" s="21" t="str">
        <f>IFERROR(VLOOKUP(January[[#This Row],[Drug Name8]],'Data Options'!$R$1:$S$100,2,FALSE), " ")</f>
        <v xml:space="preserve"> </v>
      </c>
      <c r="BD54" s="32"/>
      <c r="BE54" s="32"/>
      <c r="BF54" s="53"/>
      <c r="BG54" s="21" t="str">
        <f>IFERROR(VLOOKUP(January[[#This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21" t="str">
        <f>IFERROR(VLOOKUP(January[[#This Row],[Drug Name]],'Data Options'!$R$1:$S$100,2,FALSE), " ")</f>
        <v xml:space="preserve"> </v>
      </c>
      <c r="R55" s="32"/>
      <c r="S55" s="32"/>
      <c r="T55" s="53"/>
      <c r="U55" s="21" t="str">
        <f>IFERROR(VLOOKUP(January[[#This Row],[Drug Name2]],'Data Options'!$R$1:$S$100,2,FALSE), " ")</f>
        <v xml:space="preserve"> </v>
      </c>
      <c r="V55" s="32"/>
      <c r="W55" s="32"/>
      <c r="X55" s="53"/>
      <c r="Y55" s="21" t="str">
        <f>IFERROR(VLOOKUP(January[[#This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21" t="str">
        <f>IFERROR(VLOOKUP(January[[#This Row],[Drug Name4]],'Data Options'!$R$1:$S$100,2,FALSE), " ")</f>
        <v xml:space="preserve"> </v>
      </c>
      <c r="AI55" s="32"/>
      <c r="AJ55" s="32"/>
      <c r="AK55" s="53"/>
      <c r="AL55" s="21" t="str">
        <f>IFERROR(VLOOKUP(January[[#This Row],[Drug Name5]],'Data Options'!$R$1:$S$100,2,FALSE), " ")</f>
        <v xml:space="preserve"> </v>
      </c>
      <c r="AM55" s="32"/>
      <c r="AN55" s="32"/>
      <c r="AO55" s="53"/>
      <c r="AP55" s="21" t="str">
        <f>IFERROR(VLOOKUP(January[[#This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21" t="str">
        <f>IFERROR(VLOOKUP(January[[#This Row],[Drug Name7]],'Data Options'!$R$1:$S$100,2,FALSE), " ")</f>
        <v xml:space="preserve"> </v>
      </c>
      <c r="AZ55" s="32"/>
      <c r="BA55" s="32"/>
      <c r="BB55" s="53"/>
      <c r="BC55" s="21" t="str">
        <f>IFERROR(VLOOKUP(January[[#This Row],[Drug Name8]],'Data Options'!$R$1:$S$100,2,FALSE), " ")</f>
        <v xml:space="preserve"> </v>
      </c>
      <c r="BD55" s="32"/>
      <c r="BE55" s="32"/>
      <c r="BF55" s="53"/>
      <c r="BG55" s="21" t="str">
        <f>IFERROR(VLOOKUP(January[[#This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21" t="str">
        <f>IFERROR(VLOOKUP(January[[#This Row],[Drug Name]],'Data Options'!$R$1:$S$100,2,FALSE), " ")</f>
        <v xml:space="preserve"> </v>
      </c>
      <c r="R56" s="32"/>
      <c r="S56" s="32"/>
      <c r="T56" s="53"/>
      <c r="U56" s="21" t="str">
        <f>IFERROR(VLOOKUP(January[[#This Row],[Drug Name2]],'Data Options'!$R$1:$S$100,2,FALSE), " ")</f>
        <v xml:space="preserve"> </v>
      </c>
      <c r="V56" s="32"/>
      <c r="W56" s="32"/>
      <c r="X56" s="53"/>
      <c r="Y56" s="21" t="str">
        <f>IFERROR(VLOOKUP(January[[#This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21" t="str">
        <f>IFERROR(VLOOKUP(January[[#This Row],[Drug Name4]],'Data Options'!$R$1:$S$100,2,FALSE), " ")</f>
        <v xml:space="preserve"> </v>
      </c>
      <c r="AI56" s="32"/>
      <c r="AJ56" s="32"/>
      <c r="AK56" s="53"/>
      <c r="AL56" s="21" t="str">
        <f>IFERROR(VLOOKUP(January[[#This Row],[Drug Name5]],'Data Options'!$R$1:$S$100,2,FALSE), " ")</f>
        <v xml:space="preserve"> </v>
      </c>
      <c r="AM56" s="32"/>
      <c r="AN56" s="32"/>
      <c r="AO56" s="53"/>
      <c r="AP56" s="21" t="str">
        <f>IFERROR(VLOOKUP(January[[#This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21" t="str">
        <f>IFERROR(VLOOKUP(January[[#This Row],[Drug Name7]],'Data Options'!$R$1:$S$100,2,FALSE), " ")</f>
        <v xml:space="preserve"> </v>
      </c>
      <c r="AZ56" s="32"/>
      <c r="BA56" s="32"/>
      <c r="BB56" s="53"/>
      <c r="BC56" s="21" t="str">
        <f>IFERROR(VLOOKUP(January[[#This Row],[Drug Name8]],'Data Options'!$R$1:$S$100,2,FALSE), " ")</f>
        <v xml:space="preserve"> </v>
      </c>
      <c r="BD56" s="32"/>
      <c r="BE56" s="32"/>
      <c r="BF56" s="53"/>
      <c r="BG56" s="21" t="str">
        <f>IFERROR(VLOOKUP(January[[#This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21" t="str">
        <f>IFERROR(VLOOKUP(January[[#This Row],[Drug Name]],'Data Options'!$R$1:$S$100,2,FALSE), " ")</f>
        <v xml:space="preserve"> </v>
      </c>
      <c r="R57" s="32"/>
      <c r="S57" s="32"/>
      <c r="T57" s="53"/>
      <c r="U57" s="21" t="str">
        <f>IFERROR(VLOOKUP(January[[#This Row],[Drug Name2]],'Data Options'!$R$1:$S$100,2,FALSE), " ")</f>
        <v xml:space="preserve"> </v>
      </c>
      <c r="V57" s="32"/>
      <c r="W57" s="32"/>
      <c r="X57" s="53"/>
      <c r="Y57" s="21" t="str">
        <f>IFERROR(VLOOKUP(January[[#This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21" t="str">
        <f>IFERROR(VLOOKUP(January[[#This Row],[Drug Name4]],'Data Options'!$R$1:$S$100,2,FALSE), " ")</f>
        <v xml:space="preserve"> </v>
      </c>
      <c r="AI57" s="32"/>
      <c r="AJ57" s="32"/>
      <c r="AK57" s="53"/>
      <c r="AL57" s="21" t="str">
        <f>IFERROR(VLOOKUP(January[[#This Row],[Drug Name5]],'Data Options'!$R$1:$S$100,2,FALSE), " ")</f>
        <v xml:space="preserve"> </v>
      </c>
      <c r="AM57" s="32"/>
      <c r="AN57" s="32"/>
      <c r="AO57" s="53"/>
      <c r="AP57" s="21" t="str">
        <f>IFERROR(VLOOKUP(January[[#This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21" t="str">
        <f>IFERROR(VLOOKUP(January[[#This Row],[Drug Name7]],'Data Options'!$R$1:$S$100,2,FALSE), " ")</f>
        <v xml:space="preserve"> </v>
      </c>
      <c r="AZ57" s="32"/>
      <c r="BA57" s="32"/>
      <c r="BB57" s="53"/>
      <c r="BC57" s="21" t="str">
        <f>IFERROR(VLOOKUP(January[[#This Row],[Drug Name8]],'Data Options'!$R$1:$S$100,2,FALSE), " ")</f>
        <v xml:space="preserve"> </v>
      </c>
      <c r="BD57" s="32"/>
      <c r="BE57" s="32"/>
      <c r="BF57" s="53"/>
      <c r="BG57" s="21" t="str">
        <f>IFERROR(VLOOKUP(January[[#This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21" t="str">
        <f>IFERROR(VLOOKUP(January[[#This Row],[Drug Name]],'Data Options'!$R$1:$S$100,2,FALSE), " ")</f>
        <v xml:space="preserve"> </v>
      </c>
      <c r="R58" s="32"/>
      <c r="S58" s="32"/>
      <c r="T58" s="53"/>
      <c r="U58" s="21" t="str">
        <f>IFERROR(VLOOKUP(January[[#This Row],[Drug Name2]],'Data Options'!$R$1:$S$100,2,FALSE), " ")</f>
        <v xml:space="preserve"> </v>
      </c>
      <c r="V58" s="32"/>
      <c r="W58" s="32"/>
      <c r="X58" s="53"/>
      <c r="Y58" s="21" t="str">
        <f>IFERROR(VLOOKUP(January[[#This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21" t="str">
        <f>IFERROR(VLOOKUP(January[[#This Row],[Drug Name4]],'Data Options'!$R$1:$S$100,2,FALSE), " ")</f>
        <v xml:space="preserve"> </v>
      </c>
      <c r="AI58" s="32"/>
      <c r="AJ58" s="32"/>
      <c r="AK58" s="53"/>
      <c r="AL58" s="21" t="str">
        <f>IFERROR(VLOOKUP(January[[#This Row],[Drug Name5]],'Data Options'!$R$1:$S$100,2,FALSE), " ")</f>
        <v xml:space="preserve"> </v>
      </c>
      <c r="AM58" s="32"/>
      <c r="AN58" s="32"/>
      <c r="AO58" s="53"/>
      <c r="AP58" s="21" t="str">
        <f>IFERROR(VLOOKUP(January[[#This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21" t="str">
        <f>IFERROR(VLOOKUP(January[[#This Row],[Drug Name7]],'Data Options'!$R$1:$S$100,2,FALSE), " ")</f>
        <v xml:space="preserve"> </v>
      </c>
      <c r="AZ58" s="32"/>
      <c r="BA58" s="32"/>
      <c r="BB58" s="53"/>
      <c r="BC58" s="21" t="str">
        <f>IFERROR(VLOOKUP(January[[#This Row],[Drug Name8]],'Data Options'!$R$1:$S$100,2,FALSE), " ")</f>
        <v xml:space="preserve"> </v>
      </c>
      <c r="BD58" s="32"/>
      <c r="BE58" s="32"/>
      <c r="BF58" s="53"/>
      <c r="BG58" s="21" t="str">
        <f>IFERROR(VLOOKUP(January[[#This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21" t="str">
        <f>IFERROR(VLOOKUP(January[[#This Row],[Drug Name]],'Data Options'!$R$1:$S$100,2,FALSE), " ")</f>
        <v xml:space="preserve"> </v>
      </c>
      <c r="R59" s="32"/>
      <c r="S59" s="32"/>
      <c r="T59" s="53"/>
      <c r="U59" s="21" t="str">
        <f>IFERROR(VLOOKUP(January[[#This Row],[Drug Name2]],'Data Options'!$R$1:$S$100,2,FALSE), " ")</f>
        <v xml:space="preserve"> </v>
      </c>
      <c r="V59" s="32"/>
      <c r="W59" s="32"/>
      <c r="X59" s="53"/>
      <c r="Y59" s="21" t="str">
        <f>IFERROR(VLOOKUP(January[[#This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21" t="str">
        <f>IFERROR(VLOOKUP(January[[#This Row],[Drug Name4]],'Data Options'!$R$1:$S$100,2,FALSE), " ")</f>
        <v xml:space="preserve"> </v>
      </c>
      <c r="AI59" s="32"/>
      <c r="AJ59" s="32"/>
      <c r="AK59" s="53"/>
      <c r="AL59" s="21" t="str">
        <f>IFERROR(VLOOKUP(January[[#This Row],[Drug Name5]],'Data Options'!$R$1:$S$100,2,FALSE), " ")</f>
        <v xml:space="preserve"> </v>
      </c>
      <c r="AM59" s="32"/>
      <c r="AN59" s="32"/>
      <c r="AO59" s="53"/>
      <c r="AP59" s="21" t="str">
        <f>IFERROR(VLOOKUP(January[[#This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21" t="str">
        <f>IFERROR(VLOOKUP(January[[#This Row],[Drug Name7]],'Data Options'!$R$1:$S$100,2,FALSE), " ")</f>
        <v xml:space="preserve"> </v>
      </c>
      <c r="AZ59" s="32"/>
      <c r="BA59" s="32"/>
      <c r="BB59" s="53"/>
      <c r="BC59" s="21" t="str">
        <f>IFERROR(VLOOKUP(January[[#This Row],[Drug Name8]],'Data Options'!$R$1:$S$100,2,FALSE), " ")</f>
        <v xml:space="preserve"> </v>
      </c>
      <c r="BD59" s="32"/>
      <c r="BE59" s="32"/>
      <c r="BF59" s="53"/>
      <c r="BG59" s="21" t="str">
        <f>IFERROR(VLOOKUP(January[[#This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21" t="str">
        <f>IFERROR(VLOOKUP(January[[#This Row],[Drug Name]],'Data Options'!$R$1:$S$100,2,FALSE), " ")</f>
        <v xml:space="preserve"> </v>
      </c>
      <c r="R60" s="32"/>
      <c r="S60" s="32"/>
      <c r="T60" s="53"/>
      <c r="U60" s="21" t="str">
        <f>IFERROR(VLOOKUP(January[[#This Row],[Drug Name2]],'Data Options'!$R$1:$S$100,2,FALSE), " ")</f>
        <v xml:space="preserve"> </v>
      </c>
      <c r="V60" s="32"/>
      <c r="W60" s="32"/>
      <c r="X60" s="53"/>
      <c r="Y60" s="21" t="str">
        <f>IFERROR(VLOOKUP(January[[#This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21" t="str">
        <f>IFERROR(VLOOKUP(January[[#This Row],[Drug Name4]],'Data Options'!$R$1:$S$100,2,FALSE), " ")</f>
        <v xml:space="preserve"> </v>
      </c>
      <c r="AI60" s="32"/>
      <c r="AJ60" s="32"/>
      <c r="AK60" s="53"/>
      <c r="AL60" s="21" t="str">
        <f>IFERROR(VLOOKUP(January[[#This Row],[Drug Name5]],'Data Options'!$R$1:$S$100,2,FALSE), " ")</f>
        <v xml:space="preserve"> </v>
      </c>
      <c r="AM60" s="32"/>
      <c r="AN60" s="32"/>
      <c r="AO60" s="53"/>
      <c r="AP60" s="21" t="str">
        <f>IFERROR(VLOOKUP(January[[#This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21" t="str">
        <f>IFERROR(VLOOKUP(January[[#This Row],[Drug Name7]],'Data Options'!$R$1:$S$100,2,FALSE), " ")</f>
        <v xml:space="preserve"> </v>
      </c>
      <c r="AZ60" s="32"/>
      <c r="BA60" s="32"/>
      <c r="BB60" s="53"/>
      <c r="BC60" s="21" t="str">
        <f>IFERROR(VLOOKUP(January[[#This Row],[Drug Name8]],'Data Options'!$R$1:$S$100,2,FALSE), " ")</f>
        <v xml:space="preserve"> </v>
      </c>
      <c r="BD60" s="32"/>
      <c r="BE60" s="32"/>
      <c r="BF60" s="53"/>
      <c r="BG60" s="21" t="str">
        <f>IFERROR(VLOOKUP(January[[#This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21" t="str">
        <f>IFERROR(VLOOKUP(January[[#This Row],[Drug Name]],'Data Options'!$R$1:$S$100,2,FALSE), " ")</f>
        <v xml:space="preserve"> </v>
      </c>
      <c r="R61" s="32"/>
      <c r="S61" s="32"/>
      <c r="T61" s="53"/>
      <c r="U61" s="21" t="str">
        <f>IFERROR(VLOOKUP(January[[#This Row],[Drug Name2]],'Data Options'!$R$1:$S$100,2,FALSE), " ")</f>
        <v xml:space="preserve"> </v>
      </c>
      <c r="V61" s="32"/>
      <c r="W61" s="32"/>
      <c r="X61" s="53"/>
      <c r="Y61" s="21" t="str">
        <f>IFERROR(VLOOKUP(January[[#This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21" t="str">
        <f>IFERROR(VLOOKUP(January[[#This Row],[Drug Name4]],'Data Options'!$R$1:$S$100,2,FALSE), " ")</f>
        <v xml:space="preserve"> </v>
      </c>
      <c r="AI61" s="32"/>
      <c r="AJ61" s="32"/>
      <c r="AK61" s="53"/>
      <c r="AL61" s="21" t="str">
        <f>IFERROR(VLOOKUP(January[[#This Row],[Drug Name5]],'Data Options'!$R$1:$S$100,2,FALSE), " ")</f>
        <v xml:space="preserve"> </v>
      </c>
      <c r="AM61" s="32"/>
      <c r="AN61" s="32"/>
      <c r="AO61" s="53"/>
      <c r="AP61" s="21" t="str">
        <f>IFERROR(VLOOKUP(January[[#This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21" t="str">
        <f>IFERROR(VLOOKUP(January[[#This Row],[Drug Name7]],'Data Options'!$R$1:$S$100,2,FALSE), " ")</f>
        <v xml:space="preserve"> </v>
      </c>
      <c r="AZ61" s="32"/>
      <c r="BA61" s="32"/>
      <c r="BB61" s="53"/>
      <c r="BC61" s="21" t="str">
        <f>IFERROR(VLOOKUP(January[[#This Row],[Drug Name8]],'Data Options'!$R$1:$S$100,2,FALSE), " ")</f>
        <v xml:space="preserve"> </v>
      </c>
      <c r="BD61" s="32"/>
      <c r="BE61" s="32"/>
      <c r="BF61" s="53"/>
      <c r="BG61" s="21" t="str">
        <f>IFERROR(VLOOKUP(January[[#This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21" t="str">
        <f>IFERROR(VLOOKUP(January[[#This Row],[Drug Name]],'Data Options'!$R$1:$S$100,2,FALSE), " ")</f>
        <v xml:space="preserve"> </v>
      </c>
      <c r="R62" s="32"/>
      <c r="S62" s="32"/>
      <c r="T62" s="53"/>
      <c r="U62" s="21" t="str">
        <f>IFERROR(VLOOKUP(January[[#This Row],[Drug Name2]],'Data Options'!$R$1:$S$100,2,FALSE), " ")</f>
        <v xml:space="preserve"> </v>
      </c>
      <c r="V62" s="32"/>
      <c r="W62" s="32"/>
      <c r="X62" s="53"/>
      <c r="Y62" s="21" t="str">
        <f>IFERROR(VLOOKUP(January[[#This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21" t="str">
        <f>IFERROR(VLOOKUP(January[[#This Row],[Drug Name4]],'Data Options'!$R$1:$S$100,2,FALSE), " ")</f>
        <v xml:space="preserve"> </v>
      </c>
      <c r="AI62" s="32"/>
      <c r="AJ62" s="32"/>
      <c r="AK62" s="53"/>
      <c r="AL62" s="21" t="str">
        <f>IFERROR(VLOOKUP(January[[#This Row],[Drug Name5]],'Data Options'!$R$1:$S$100,2,FALSE), " ")</f>
        <v xml:space="preserve"> </v>
      </c>
      <c r="AM62" s="32"/>
      <c r="AN62" s="32"/>
      <c r="AO62" s="53"/>
      <c r="AP62" s="21" t="str">
        <f>IFERROR(VLOOKUP(January[[#This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21" t="str">
        <f>IFERROR(VLOOKUP(January[[#This Row],[Drug Name7]],'Data Options'!$R$1:$S$100,2,FALSE), " ")</f>
        <v xml:space="preserve"> </v>
      </c>
      <c r="AZ62" s="32"/>
      <c r="BA62" s="32"/>
      <c r="BB62" s="53"/>
      <c r="BC62" s="21" t="str">
        <f>IFERROR(VLOOKUP(January[[#This Row],[Drug Name8]],'Data Options'!$R$1:$S$100,2,FALSE), " ")</f>
        <v xml:space="preserve"> </v>
      </c>
      <c r="BD62" s="32"/>
      <c r="BE62" s="32"/>
      <c r="BF62" s="53"/>
      <c r="BG62" s="21" t="str">
        <f>IFERROR(VLOOKUP(January[[#This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21" t="str">
        <f>IFERROR(VLOOKUP(January[[#This Row],[Drug Name]],'Data Options'!$R$1:$S$100,2,FALSE), " ")</f>
        <v xml:space="preserve"> </v>
      </c>
      <c r="R63" s="32"/>
      <c r="S63" s="32"/>
      <c r="T63" s="53"/>
      <c r="U63" s="21" t="str">
        <f>IFERROR(VLOOKUP(January[[#This Row],[Drug Name2]],'Data Options'!$R$1:$S$100,2,FALSE), " ")</f>
        <v xml:space="preserve"> </v>
      </c>
      <c r="V63" s="32"/>
      <c r="W63" s="32"/>
      <c r="X63" s="53"/>
      <c r="Y63" s="21" t="str">
        <f>IFERROR(VLOOKUP(January[[#This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21" t="str">
        <f>IFERROR(VLOOKUP(January[[#This Row],[Drug Name4]],'Data Options'!$R$1:$S$100,2,FALSE), " ")</f>
        <v xml:space="preserve"> </v>
      </c>
      <c r="AI63" s="32"/>
      <c r="AJ63" s="32"/>
      <c r="AK63" s="53"/>
      <c r="AL63" s="21" t="str">
        <f>IFERROR(VLOOKUP(January[[#This Row],[Drug Name5]],'Data Options'!$R$1:$S$100,2,FALSE), " ")</f>
        <v xml:space="preserve"> </v>
      </c>
      <c r="AM63" s="32"/>
      <c r="AN63" s="32"/>
      <c r="AO63" s="53"/>
      <c r="AP63" s="21" t="str">
        <f>IFERROR(VLOOKUP(January[[#This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21" t="str">
        <f>IFERROR(VLOOKUP(January[[#This Row],[Drug Name7]],'Data Options'!$R$1:$S$100,2,FALSE), " ")</f>
        <v xml:space="preserve"> </v>
      </c>
      <c r="AZ63" s="32"/>
      <c r="BA63" s="32"/>
      <c r="BB63" s="53"/>
      <c r="BC63" s="21" t="str">
        <f>IFERROR(VLOOKUP(January[[#This Row],[Drug Name8]],'Data Options'!$R$1:$S$100,2,FALSE), " ")</f>
        <v xml:space="preserve"> </v>
      </c>
      <c r="BD63" s="32"/>
      <c r="BE63" s="32"/>
      <c r="BF63" s="53"/>
      <c r="BG63" s="21" t="str">
        <f>IFERROR(VLOOKUP(January[[#This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21" t="str">
        <f>IFERROR(VLOOKUP(January[[#This Row],[Drug Name]],'Data Options'!$R$1:$S$100,2,FALSE), " ")</f>
        <v xml:space="preserve"> </v>
      </c>
      <c r="R64" s="32"/>
      <c r="S64" s="32"/>
      <c r="T64" s="53"/>
      <c r="U64" s="21" t="str">
        <f>IFERROR(VLOOKUP(January[[#This Row],[Drug Name2]],'Data Options'!$R$1:$S$100,2,FALSE), " ")</f>
        <v xml:space="preserve"> </v>
      </c>
      <c r="V64" s="32"/>
      <c r="W64" s="32"/>
      <c r="X64" s="53"/>
      <c r="Y64" s="21" t="str">
        <f>IFERROR(VLOOKUP(January[[#This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21" t="str">
        <f>IFERROR(VLOOKUP(January[[#This Row],[Drug Name4]],'Data Options'!$R$1:$S$100,2,FALSE), " ")</f>
        <v xml:space="preserve"> </v>
      </c>
      <c r="AI64" s="32"/>
      <c r="AJ64" s="32"/>
      <c r="AK64" s="53"/>
      <c r="AL64" s="21" t="str">
        <f>IFERROR(VLOOKUP(January[[#This Row],[Drug Name5]],'Data Options'!$R$1:$S$100,2,FALSE), " ")</f>
        <v xml:space="preserve"> </v>
      </c>
      <c r="AM64" s="32"/>
      <c r="AN64" s="32"/>
      <c r="AO64" s="53"/>
      <c r="AP64" s="21" t="str">
        <f>IFERROR(VLOOKUP(January[[#This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21" t="str">
        <f>IFERROR(VLOOKUP(January[[#This Row],[Drug Name7]],'Data Options'!$R$1:$S$100,2,FALSE), " ")</f>
        <v xml:space="preserve"> </v>
      </c>
      <c r="AZ64" s="32"/>
      <c r="BA64" s="32"/>
      <c r="BB64" s="53"/>
      <c r="BC64" s="21" t="str">
        <f>IFERROR(VLOOKUP(January[[#This Row],[Drug Name8]],'Data Options'!$R$1:$S$100,2,FALSE), " ")</f>
        <v xml:space="preserve"> </v>
      </c>
      <c r="BD64" s="32"/>
      <c r="BE64" s="32"/>
      <c r="BF64" s="53"/>
      <c r="BG64" s="21" t="str">
        <f>IFERROR(VLOOKUP(January[[#This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21" t="str">
        <f>IFERROR(VLOOKUP(January[[#This Row],[Drug Name]],'Data Options'!$R$1:$S$100,2,FALSE), " ")</f>
        <v xml:space="preserve"> </v>
      </c>
      <c r="R65" s="32"/>
      <c r="S65" s="32"/>
      <c r="T65" s="53"/>
      <c r="U65" s="21" t="str">
        <f>IFERROR(VLOOKUP(January[[#This Row],[Drug Name2]],'Data Options'!$R$1:$S$100,2,FALSE), " ")</f>
        <v xml:space="preserve"> </v>
      </c>
      <c r="V65" s="32"/>
      <c r="W65" s="32"/>
      <c r="X65" s="53"/>
      <c r="Y65" s="21" t="str">
        <f>IFERROR(VLOOKUP(January[[#This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21" t="str">
        <f>IFERROR(VLOOKUP(January[[#This Row],[Drug Name4]],'Data Options'!$R$1:$S$100,2,FALSE), " ")</f>
        <v xml:space="preserve"> </v>
      </c>
      <c r="AI65" s="32"/>
      <c r="AJ65" s="32"/>
      <c r="AK65" s="53"/>
      <c r="AL65" s="21" t="str">
        <f>IFERROR(VLOOKUP(January[[#This Row],[Drug Name5]],'Data Options'!$R$1:$S$100,2,FALSE), " ")</f>
        <v xml:space="preserve"> </v>
      </c>
      <c r="AM65" s="32"/>
      <c r="AN65" s="32"/>
      <c r="AO65" s="53"/>
      <c r="AP65" s="21" t="str">
        <f>IFERROR(VLOOKUP(January[[#This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21" t="str">
        <f>IFERROR(VLOOKUP(January[[#This Row],[Drug Name7]],'Data Options'!$R$1:$S$100,2,FALSE), " ")</f>
        <v xml:space="preserve"> </v>
      </c>
      <c r="AZ65" s="32"/>
      <c r="BA65" s="32"/>
      <c r="BB65" s="53"/>
      <c r="BC65" s="21" t="str">
        <f>IFERROR(VLOOKUP(January[[#This Row],[Drug Name8]],'Data Options'!$R$1:$S$100,2,FALSE), " ")</f>
        <v xml:space="preserve"> </v>
      </c>
      <c r="BD65" s="32"/>
      <c r="BE65" s="32"/>
      <c r="BF65" s="53"/>
      <c r="BG65" s="21" t="str">
        <f>IFERROR(VLOOKUP(January[[#This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21" t="str">
        <f>IFERROR(VLOOKUP(January[[#This Row],[Drug Name]],'Data Options'!$R$1:$S$100,2,FALSE), " ")</f>
        <v xml:space="preserve"> </v>
      </c>
      <c r="R66" s="32"/>
      <c r="S66" s="32"/>
      <c r="T66" s="53"/>
      <c r="U66" s="21" t="str">
        <f>IFERROR(VLOOKUP(January[[#This Row],[Drug Name2]],'Data Options'!$R$1:$S$100,2,FALSE), " ")</f>
        <v xml:space="preserve"> </v>
      </c>
      <c r="V66" s="32"/>
      <c r="W66" s="32"/>
      <c r="X66" s="53"/>
      <c r="Y66" s="21" t="str">
        <f>IFERROR(VLOOKUP(January[[#This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21" t="str">
        <f>IFERROR(VLOOKUP(January[[#This Row],[Drug Name4]],'Data Options'!$R$1:$S$100,2,FALSE), " ")</f>
        <v xml:space="preserve"> </v>
      </c>
      <c r="AI66" s="32"/>
      <c r="AJ66" s="32"/>
      <c r="AK66" s="53"/>
      <c r="AL66" s="21" t="str">
        <f>IFERROR(VLOOKUP(January[[#This Row],[Drug Name5]],'Data Options'!$R$1:$S$100,2,FALSE), " ")</f>
        <v xml:space="preserve"> </v>
      </c>
      <c r="AM66" s="32"/>
      <c r="AN66" s="32"/>
      <c r="AO66" s="53"/>
      <c r="AP66" s="21" t="str">
        <f>IFERROR(VLOOKUP(January[[#This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21" t="str">
        <f>IFERROR(VLOOKUP(January[[#This Row],[Drug Name7]],'Data Options'!$R$1:$S$100,2,FALSE), " ")</f>
        <v xml:space="preserve"> </v>
      </c>
      <c r="AZ66" s="32"/>
      <c r="BA66" s="32"/>
      <c r="BB66" s="53"/>
      <c r="BC66" s="21" t="str">
        <f>IFERROR(VLOOKUP(January[[#This Row],[Drug Name8]],'Data Options'!$R$1:$S$100,2,FALSE), " ")</f>
        <v xml:space="preserve"> </v>
      </c>
      <c r="BD66" s="32"/>
      <c r="BE66" s="32"/>
      <c r="BF66" s="53"/>
      <c r="BG66" s="21" t="str">
        <f>IFERROR(VLOOKUP(January[[#This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21" t="str">
        <f>IFERROR(VLOOKUP(January[[#This Row],[Drug Name]],'Data Options'!$R$1:$S$100,2,FALSE), " ")</f>
        <v xml:space="preserve"> </v>
      </c>
      <c r="R67" s="32"/>
      <c r="S67" s="32"/>
      <c r="T67" s="53"/>
      <c r="U67" s="21" t="str">
        <f>IFERROR(VLOOKUP(January[[#This Row],[Drug Name2]],'Data Options'!$R$1:$S$100,2,FALSE), " ")</f>
        <v xml:space="preserve"> </v>
      </c>
      <c r="V67" s="32"/>
      <c r="W67" s="32"/>
      <c r="X67" s="53"/>
      <c r="Y67" s="21" t="str">
        <f>IFERROR(VLOOKUP(January[[#This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21" t="str">
        <f>IFERROR(VLOOKUP(January[[#This Row],[Drug Name4]],'Data Options'!$R$1:$S$100,2,FALSE), " ")</f>
        <v xml:space="preserve"> </v>
      </c>
      <c r="AI67" s="32"/>
      <c r="AJ67" s="32"/>
      <c r="AK67" s="53"/>
      <c r="AL67" s="21" t="str">
        <f>IFERROR(VLOOKUP(January[[#This Row],[Drug Name5]],'Data Options'!$R$1:$S$100,2,FALSE), " ")</f>
        <v xml:space="preserve"> </v>
      </c>
      <c r="AM67" s="32"/>
      <c r="AN67" s="32"/>
      <c r="AO67" s="53"/>
      <c r="AP67" s="21" t="str">
        <f>IFERROR(VLOOKUP(January[[#This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21" t="str">
        <f>IFERROR(VLOOKUP(January[[#This Row],[Drug Name7]],'Data Options'!$R$1:$S$100,2,FALSE), " ")</f>
        <v xml:space="preserve"> </v>
      </c>
      <c r="AZ67" s="32"/>
      <c r="BA67" s="32"/>
      <c r="BB67" s="53"/>
      <c r="BC67" s="21" t="str">
        <f>IFERROR(VLOOKUP(January[[#This Row],[Drug Name8]],'Data Options'!$R$1:$S$100,2,FALSE), " ")</f>
        <v xml:space="preserve"> </v>
      </c>
      <c r="BD67" s="32"/>
      <c r="BE67" s="32"/>
      <c r="BF67" s="53"/>
      <c r="BG67" s="21" t="str">
        <f>IFERROR(VLOOKUP(January[[#This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21" t="str">
        <f>IFERROR(VLOOKUP(January[[#This Row],[Drug Name]],'Data Options'!$R$1:$S$100,2,FALSE), " ")</f>
        <v xml:space="preserve"> </v>
      </c>
      <c r="R68" s="32"/>
      <c r="S68" s="32"/>
      <c r="T68" s="53"/>
      <c r="U68" s="21" t="str">
        <f>IFERROR(VLOOKUP(January[[#This Row],[Drug Name2]],'Data Options'!$R$1:$S$100,2,FALSE), " ")</f>
        <v xml:space="preserve"> </v>
      </c>
      <c r="V68" s="32"/>
      <c r="W68" s="32"/>
      <c r="X68" s="53"/>
      <c r="Y68" s="21" t="str">
        <f>IFERROR(VLOOKUP(January[[#This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21" t="str">
        <f>IFERROR(VLOOKUP(January[[#This Row],[Drug Name4]],'Data Options'!$R$1:$S$100,2,FALSE), " ")</f>
        <v xml:space="preserve"> </v>
      </c>
      <c r="AI68" s="32"/>
      <c r="AJ68" s="32"/>
      <c r="AK68" s="53"/>
      <c r="AL68" s="21" t="str">
        <f>IFERROR(VLOOKUP(January[[#This Row],[Drug Name5]],'Data Options'!$R$1:$S$100,2,FALSE), " ")</f>
        <v xml:space="preserve"> </v>
      </c>
      <c r="AM68" s="32"/>
      <c r="AN68" s="32"/>
      <c r="AO68" s="53"/>
      <c r="AP68" s="21" t="str">
        <f>IFERROR(VLOOKUP(January[[#This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21" t="str">
        <f>IFERROR(VLOOKUP(January[[#This Row],[Drug Name7]],'Data Options'!$R$1:$S$100,2,FALSE), " ")</f>
        <v xml:space="preserve"> </v>
      </c>
      <c r="AZ68" s="32"/>
      <c r="BA68" s="32"/>
      <c r="BB68" s="53"/>
      <c r="BC68" s="21" t="str">
        <f>IFERROR(VLOOKUP(January[[#This Row],[Drug Name8]],'Data Options'!$R$1:$S$100,2,FALSE), " ")</f>
        <v xml:space="preserve"> </v>
      </c>
      <c r="BD68" s="32"/>
      <c r="BE68" s="32"/>
      <c r="BF68" s="53"/>
      <c r="BG68" s="21" t="str">
        <f>IFERROR(VLOOKUP(January[[#This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21" t="str">
        <f>IFERROR(VLOOKUP(January[[#This Row],[Drug Name]],'Data Options'!$R$1:$S$100,2,FALSE), " ")</f>
        <v xml:space="preserve"> </v>
      </c>
      <c r="R69" s="32"/>
      <c r="S69" s="32"/>
      <c r="T69" s="53"/>
      <c r="U69" s="21" t="str">
        <f>IFERROR(VLOOKUP(January[[#This Row],[Drug Name2]],'Data Options'!$R$1:$S$100,2,FALSE), " ")</f>
        <v xml:space="preserve"> </v>
      </c>
      <c r="V69" s="32"/>
      <c r="W69" s="32"/>
      <c r="X69" s="53"/>
      <c r="Y69" s="21" t="str">
        <f>IFERROR(VLOOKUP(January[[#This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21" t="str">
        <f>IFERROR(VLOOKUP(January[[#This Row],[Drug Name4]],'Data Options'!$R$1:$S$100,2,FALSE), " ")</f>
        <v xml:space="preserve"> </v>
      </c>
      <c r="AI69" s="32"/>
      <c r="AJ69" s="32"/>
      <c r="AK69" s="53"/>
      <c r="AL69" s="21" t="str">
        <f>IFERROR(VLOOKUP(January[[#This Row],[Drug Name5]],'Data Options'!$R$1:$S$100,2,FALSE), " ")</f>
        <v xml:space="preserve"> </v>
      </c>
      <c r="AM69" s="32"/>
      <c r="AN69" s="32"/>
      <c r="AO69" s="53"/>
      <c r="AP69" s="21" t="str">
        <f>IFERROR(VLOOKUP(January[[#This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21" t="str">
        <f>IFERROR(VLOOKUP(January[[#This Row],[Drug Name7]],'Data Options'!$R$1:$S$100,2,FALSE), " ")</f>
        <v xml:space="preserve"> </v>
      </c>
      <c r="AZ69" s="32"/>
      <c r="BA69" s="32"/>
      <c r="BB69" s="53"/>
      <c r="BC69" s="21" t="str">
        <f>IFERROR(VLOOKUP(January[[#This Row],[Drug Name8]],'Data Options'!$R$1:$S$100,2,FALSE), " ")</f>
        <v xml:space="preserve"> </v>
      </c>
      <c r="BD69" s="32"/>
      <c r="BE69" s="32"/>
      <c r="BF69" s="53"/>
      <c r="BG69" s="21" t="str">
        <f>IFERROR(VLOOKUP(January[[#This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21" t="str">
        <f>IFERROR(VLOOKUP(January[[#This Row],[Drug Name]],'Data Options'!$R$1:$S$100,2,FALSE), " ")</f>
        <v xml:space="preserve"> </v>
      </c>
      <c r="R70" s="32"/>
      <c r="S70" s="32"/>
      <c r="T70" s="53"/>
      <c r="U70" s="21" t="str">
        <f>IFERROR(VLOOKUP(January[[#This Row],[Drug Name2]],'Data Options'!$R$1:$S$100,2,FALSE), " ")</f>
        <v xml:space="preserve"> </v>
      </c>
      <c r="V70" s="32"/>
      <c r="W70" s="32"/>
      <c r="X70" s="53"/>
      <c r="Y70" s="21" t="str">
        <f>IFERROR(VLOOKUP(January[[#This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21" t="str">
        <f>IFERROR(VLOOKUP(January[[#This Row],[Drug Name4]],'Data Options'!$R$1:$S$100,2,FALSE), " ")</f>
        <v xml:space="preserve"> </v>
      </c>
      <c r="AI70" s="32"/>
      <c r="AJ70" s="32"/>
      <c r="AK70" s="53"/>
      <c r="AL70" s="21" t="str">
        <f>IFERROR(VLOOKUP(January[[#This Row],[Drug Name5]],'Data Options'!$R$1:$S$100,2,FALSE), " ")</f>
        <v xml:space="preserve"> </v>
      </c>
      <c r="AM70" s="32"/>
      <c r="AN70" s="32"/>
      <c r="AO70" s="53"/>
      <c r="AP70" s="21" t="str">
        <f>IFERROR(VLOOKUP(January[[#This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21" t="str">
        <f>IFERROR(VLOOKUP(January[[#This Row],[Drug Name7]],'Data Options'!$R$1:$S$100,2,FALSE), " ")</f>
        <v xml:space="preserve"> </v>
      </c>
      <c r="AZ70" s="32"/>
      <c r="BA70" s="32"/>
      <c r="BB70" s="53"/>
      <c r="BC70" s="21" t="str">
        <f>IFERROR(VLOOKUP(January[[#This Row],[Drug Name8]],'Data Options'!$R$1:$S$100,2,FALSE), " ")</f>
        <v xml:space="preserve"> </v>
      </c>
      <c r="BD70" s="32"/>
      <c r="BE70" s="32"/>
      <c r="BF70" s="53"/>
      <c r="BG70" s="21" t="str">
        <f>IFERROR(VLOOKUP(January[[#This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21" t="str">
        <f>IFERROR(VLOOKUP(January[[#This Row],[Drug Name]],'Data Options'!$R$1:$S$100,2,FALSE), " ")</f>
        <v xml:space="preserve"> </v>
      </c>
      <c r="R71" s="32"/>
      <c r="S71" s="32"/>
      <c r="T71" s="53"/>
      <c r="U71" s="21" t="str">
        <f>IFERROR(VLOOKUP(January[[#This Row],[Drug Name2]],'Data Options'!$R$1:$S$100,2,FALSE), " ")</f>
        <v xml:space="preserve"> </v>
      </c>
      <c r="V71" s="32"/>
      <c r="W71" s="32"/>
      <c r="X71" s="53"/>
      <c r="Y71" s="21" t="str">
        <f>IFERROR(VLOOKUP(January[[#This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21" t="str">
        <f>IFERROR(VLOOKUP(January[[#This Row],[Drug Name4]],'Data Options'!$R$1:$S$100,2,FALSE), " ")</f>
        <v xml:space="preserve"> </v>
      </c>
      <c r="AI71" s="32"/>
      <c r="AJ71" s="32"/>
      <c r="AK71" s="53"/>
      <c r="AL71" s="21" t="str">
        <f>IFERROR(VLOOKUP(January[[#This Row],[Drug Name5]],'Data Options'!$R$1:$S$100,2,FALSE), " ")</f>
        <v xml:space="preserve"> </v>
      </c>
      <c r="AM71" s="32"/>
      <c r="AN71" s="32"/>
      <c r="AO71" s="53"/>
      <c r="AP71" s="21" t="str">
        <f>IFERROR(VLOOKUP(January[[#This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21" t="str">
        <f>IFERROR(VLOOKUP(January[[#This Row],[Drug Name7]],'Data Options'!$R$1:$S$100,2,FALSE), " ")</f>
        <v xml:space="preserve"> </v>
      </c>
      <c r="AZ71" s="32"/>
      <c r="BA71" s="32"/>
      <c r="BB71" s="53"/>
      <c r="BC71" s="21" t="str">
        <f>IFERROR(VLOOKUP(January[[#This Row],[Drug Name8]],'Data Options'!$R$1:$S$100,2,FALSE), " ")</f>
        <v xml:space="preserve"> </v>
      </c>
      <c r="BD71" s="32"/>
      <c r="BE71" s="32"/>
      <c r="BF71" s="53"/>
      <c r="BG71" s="21" t="str">
        <f>IFERROR(VLOOKUP(January[[#This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21" t="str">
        <f>IFERROR(VLOOKUP(January[[#This Row],[Drug Name]],'Data Options'!$R$1:$S$100,2,FALSE), " ")</f>
        <v xml:space="preserve"> </v>
      </c>
      <c r="R72" s="32"/>
      <c r="S72" s="32"/>
      <c r="T72" s="53"/>
      <c r="U72" s="21" t="str">
        <f>IFERROR(VLOOKUP(January[[#This Row],[Drug Name2]],'Data Options'!$R$1:$S$100,2,FALSE), " ")</f>
        <v xml:space="preserve"> </v>
      </c>
      <c r="V72" s="32"/>
      <c r="W72" s="32"/>
      <c r="X72" s="53"/>
      <c r="Y72" s="21" t="str">
        <f>IFERROR(VLOOKUP(January[[#This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21" t="str">
        <f>IFERROR(VLOOKUP(January[[#This Row],[Drug Name4]],'Data Options'!$R$1:$S$100,2,FALSE), " ")</f>
        <v xml:space="preserve"> </v>
      </c>
      <c r="AI72" s="32"/>
      <c r="AJ72" s="32"/>
      <c r="AK72" s="53"/>
      <c r="AL72" s="21" t="str">
        <f>IFERROR(VLOOKUP(January[[#This Row],[Drug Name5]],'Data Options'!$R$1:$S$100,2,FALSE), " ")</f>
        <v xml:space="preserve"> </v>
      </c>
      <c r="AM72" s="32"/>
      <c r="AN72" s="32"/>
      <c r="AO72" s="53"/>
      <c r="AP72" s="21" t="str">
        <f>IFERROR(VLOOKUP(January[[#This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21" t="str">
        <f>IFERROR(VLOOKUP(January[[#This Row],[Drug Name7]],'Data Options'!$R$1:$S$100,2,FALSE), " ")</f>
        <v xml:space="preserve"> </v>
      </c>
      <c r="AZ72" s="32"/>
      <c r="BA72" s="32"/>
      <c r="BB72" s="53"/>
      <c r="BC72" s="21" t="str">
        <f>IFERROR(VLOOKUP(January[[#This Row],[Drug Name8]],'Data Options'!$R$1:$S$100,2,FALSE), " ")</f>
        <v xml:space="preserve"> </v>
      </c>
      <c r="BD72" s="32"/>
      <c r="BE72" s="32"/>
      <c r="BF72" s="53"/>
      <c r="BG72" s="21" t="str">
        <f>IFERROR(VLOOKUP(January[[#This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21" t="str">
        <f>IFERROR(VLOOKUP(January[[#This Row],[Drug Name]],'Data Options'!$R$1:$S$100,2,FALSE), " ")</f>
        <v xml:space="preserve"> </v>
      </c>
      <c r="R73" s="32"/>
      <c r="S73" s="32"/>
      <c r="T73" s="53"/>
      <c r="U73" s="21" t="str">
        <f>IFERROR(VLOOKUP(January[[#This Row],[Drug Name2]],'Data Options'!$R$1:$S$100,2,FALSE), " ")</f>
        <v xml:space="preserve"> </v>
      </c>
      <c r="V73" s="32"/>
      <c r="W73" s="32"/>
      <c r="X73" s="53"/>
      <c r="Y73" s="21" t="str">
        <f>IFERROR(VLOOKUP(January[[#This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21" t="str">
        <f>IFERROR(VLOOKUP(January[[#This Row],[Drug Name4]],'Data Options'!$R$1:$S$100,2,FALSE), " ")</f>
        <v xml:space="preserve"> </v>
      </c>
      <c r="AI73" s="32"/>
      <c r="AJ73" s="32"/>
      <c r="AK73" s="53"/>
      <c r="AL73" s="21" t="str">
        <f>IFERROR(VLOOKUP(January[[#This Row],[Drug Name5]],'Data Options'!$R$1:$S$100,2,FALSE), " ")</f>
        <v xml:space="preserve"> </v>
      </c>
      <c r="AM73" s="32"/>
      <c r="AN73" s="32"/>
      <c r="AO73" s="53"/>
      <c r="AP73" s="21" t="str">
        <f>IFERROR(VLOOKUP(January[[#This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21" t="str">
        <f>IFERROR(VLOOKUP(January[[#This Row],[Drug Name7]],'Data Options'!$R$1:$S$100,2,FALSE), " ")</f>
        <v xml:space="preserve"> </v>
      </c>
      <c r="AZ73" s="32"/>
      <c r="BA73" s="32"/>
      <c r="BB73" s="53"/>
      <c r="BC73" s="21" t="str">
        <f>IFERROR(VLOOKUP(January[[#This Row],[Drug Name8]],'Data Options'!$R$1:$S$100,2,FALSE), " ")</f>
        <v xml:space="preserve"> </v>
      </c>
      <c r="BD73" s="32"/>
      <c r="BE73" s="32"/>
      <c r="BF73" s="53"/>
      <c r="BG73" s="21" t="str">
        <f>IFERROR(VLOOKUP(January[[#This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21" t="str">
        <f>IFERROR(VLOOKUP(January[[#This Row],[Drug Name]],'Data Options'!$R$1:$S$100,2,FALSE), " ")</f>
        <v xml:space="preserve"> </v>
      </c>
      <c r="R74" s="32"/>
      <c r="S74" s="32"/>
      <c r="T74" s="53"/>
      <c r="U74" s="21" t="str">
        <f>IFERROR(VLOOKUP(January[[#This Row],[Drug Name2]],'Data Options'!$R$1:$S$100,2,FALSE), " ")</f>
        <v xml:space="preserve"> </v>
      </c>
      <c r="V74" s="32"/>
      <c r="W74" s="32"/>
      <c r="X74" s="53"/>
      <c r="Y74" s="21" t="str">
        <f>IFERROR(VLOOKUP(January[[#This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21" t="str">
        <f>IFERROR(VLOOKUP(January[[#This Row],[Drug Name4]],'Data Options'!$R$1:$S$100,2,FALSE), " ")</f>
        <v xml:space="preserve"> </v>
      </c>
      <c r="AI74" s="32"/>
      <c r="AJ74" s="32"/>
      <c r="AK74" s="53"/>
      <c r="AL74" s="21" t="str">
        <f>IFERROR(VLOOKUP(January[[#This Row],[Drug Name5]],'Data Options'!$R$1:$S$100,2,FALSE), " ")</f>
        <v xml:space="preserve"> </v>
      </c>
      <c r="AM74" s="32"/>
      <c r="AN74" s="32"/>
      <c r="AO74" s="53"/>
      <c r="AP74" s="21" t="str">
        <f>IFERROR(VLOOKUP(January[[#This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21" t="str">
        <f>IFERROR(VLOOKUP(January[[#This Row],[Drug Name7]],'Data Options'!$R$1:$S$100,2,FALSE), " ")</f>
        <v xml:space="preserve"> </v>
      </c>
      <c r="AZ74" s="32"/>
      <c r="BA74" s="32"/>
      <c r="BB74" s="53"/>
      <c r="BC74" s="21" t="str">
        <f>IFERROR(VLOOKUP(January[[#This Row],[Drug Name8]],'Data Options'!$R$1:$S$100,2,FALSE), " ")</f>
        <v xml:space="preserve"> </v>
      </c>
      <c r="BD74" s="32"/>
      <c r="BE74" s="32"/>
      <c r="BF74" s="53"/>
      <c r="BG74" s="21" t="str">
        <f>IFERROR(VLOOKUP(January[[#This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21" t="str">
        <f>IFERROR(VLOOKUP(January[[#This Row],[Drug Name]],'Data Options'!$R$1:$S$100,2,FALSE), " ")</f>
        <v xml:space="preserve"> </v>
      </c>
      <c r="R75" s="32"/>
      <c r="S75" s="32"/>
      <c r="T75" s="53"/>
      <c r="U75" s="21" t="str">
        <f>IFERROR(VLOOKUP(January[[#This Row],[Drug Name2]],'Data Options'!$R$1:$S$100,2,FALSE), " ")</f>
        <v xml:space="preserve"> </v>
      </c>
      <c r="V75" s="32"/>
      <c r="W75" s="32"/>
      <c r="X75" s="53"/>
      <c r="Y75" s="21" t="str">
        <f>IFERROR(VLOOKUP(January[[#This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21" t="str">
        <f>IFERROR(VLOOKUP(January[[#This Row],[Drug Name4]],'Data Options'!$R$1:$S$100,2,FALSE), " ")</f>
        <v xml:space="preserve"> </v>
      </c>
      <c r="AI75" s="32"/>
      <c r="AJ75" s="32"/>
      <c r="AK75" s="53"/>
      <c r="AL75" s="21" t="str">
        <f>IFERROR(VLOOKUP(January[[#This Row],[Drug Name5]],'Data Options'!$R$1:$S$100,2,FALSE), " ")</f>
        <v xml:space="preserve"> </v>
      </c>
      <c r="AM75" s="32"/>
      <c r="AN75" s="32"/>
      <c r="AO75" s="53"/>
      <c r="AP75" s="21" t="str">
        <f>IFERROR(VLOOKUP(January[[#This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21" t="str">
        <f>IFERROR(VLOOKUP(January[[#This Row],[Drug Name7]],'Data Options'!$R$1:$S$100,2,FALSE), " ")</f>
        <v xml:space="preserve"> </v>
      </c>
      <c r="AZ75" s="32"/>
      <c r="BA75" s="32"/>
      <c r="BB75" s="53"/>
      <c r="BC75" s="21" t="str">
        <f>IFERROR(VLOOKUP(January[[#This Row],[Drug Name8]],'Data Options'!$R$1:$S$100,2,FALSE), " ")</f>
        <v xml:space="preserve"> </v>
      </c>
      <c r="BD75" s="32"/>
      <c r="BE75" s="32"/>
      <c r="BF75" s="53"/>
      <c r="BG75" s="21" t="str">
        <f>IFERROR(VLOOKUP(January[[#This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21" t="str">
        <f>IFERROR(VLOOKUP(January[[#This Row],[Drug Name]],'Data Options'!$R$1:$S$100,2,FALSE), " ")</f>
        <v xml:space="preserve"> </v>
      </c>
      <c r="R76" s="32"/>
      <c r="S76" s="32"/>
      <c r="T76" s="53"/>
      <c r="U76" s="21" t="str">
        <f>IFERROR(VLOOKUP(January[[#This Row],[Drug Name2]],'Data Options'!$R$1:$S$100,2,FALSE), " ")</f>
        <v xml:space="preserve"> </v>
      </c>
      <c r="V76" s="32"/>
      <c r="W76" s="32"/>
      <c r="X76" s="53"/>
      <c r="Y76" s="21" t="str">
        <f>IFERROR(VLOOKUP(January[[#This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21" t="str">
        <f>IFERROR(VLOOKUP(January[[#This Row],[Drug Name4]],'Data Options'!$R$1:$S$100,2,FALSE), " ")</f>
        <v xml:space="preserve"> </v>
      </c>
      <c r="AI76" s="32"/>
      <c r="AJ76" s="32"/>
      <c r="AK76" s="53"/>
      <c r="AL76" s="21" t="str">
        <f>IFERROR(VLOOKUP(January[[#This Row],[Drug Name5]],'Data Options'!$R$1:$S$100,2,FALSE), " ")</f>
        <v xml:space="preserve"> </v>
      </c>
      <c r="AM76" s="32"/>
      <c r="AN76" s="32"/>
      <c r="AO76" s="53"/>
      <c r="AP76" s="21" t="str">
        <f>IFERROR(VLOOKUP(January[[#This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21" t="str">
        <f>IFERROR(VLOOKUP(January[[#This Row],[Drug Name7]],'Data Options'!$R$1:$S$100,2,FALSE), " ")</f>
        <v xml:space="preserve"> </v>
      </c>
      <c r="AZ76" s="32"/>
      <c r="BA76" s="32"/>
      <c r="BB76" s="53"/>
      <c r="BC76" s="21" t="str">
        <f>IFERROR(VLOOKUP(January[[#This Row],[Drug Name8]],'Data Options'!$R$1:$S$100,2,FALSE), " ")</f>
        <v xml:space="preserve"> </v>
      </c>
      <c r="BD76" s="32"/>
      <c r="BE76" s="32"/>
      <c r="BF76" s="53"/>
      <c r="BG76" s="21" t="str">
        <f>IFERROR(VLOOKUP(January[[#This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21" t="str">
        <f>IFERROR(VLOOKUP(January[[#This Row],[Drug Name]],'Data Options'!$R$1:$S$100,2,FALSE), " ")</f>
        <v xml:space="preserve"> </v>
      </c>
      <c r="R77" s="32"/>
      <c r="S77" s="32"/>
      <c r="T77" s="53"/>
      <c r="U77" s="21" t="str">
        <f>IFERROR(VLOOKUP(January[[#This Row],[Drug Name2]],'Data Options'!$R$1:$S$100,2,FALSE), " ")</f>
        <v xml:space="preserve"> </v>
      </c>
      <c r="V77" s="32"/>
      <c r="W77" s="32"/>
      <c r="X77" s="53"/>
      <c r="Y77" s="21" t="str">
        <f>IFERROR(VLOOKUP(January[[#This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21" t="str">
        <f>IFERROR(VLOOKUP(January[[#This Row],[Drug Name4]],'Data Options'!$R$1:$S$100,2,FALSE), " ")</f>
        <v xml:space="preserve"> </v>
      </c>
      <c r="AI77" s="32"/>
      <c r="AJ77" s="32"/>
      <c r="AK77" s="53"/>
      <c r="AL77" s="21" t="str">
        <f>IFERROR(VLOOKUP(January[[#This Row],[Drug Name5]],'Data Options'!$R$1:$S$100,2,FALSE), " ")</f>
        <v xml:space="preserve"> </v>
      </c>
      <c r="AM77" s="32"/>
      <c r="AN77" s="32"/>
      <c r="AO77" s="53"/>
      <c r="AP77" s="21" t="str">
        <f>IFERROR(VLOOKUP(January[[#This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21" t="str">
        <f>IFERROR(VLOOKUP(January[[#This Row],[Drug Name7]],'Data Options'!$R$1:$S$100,2,FALSE), " ")</f>
        <v xml:space="preserve"> </v>
      </c>
      <c r="AZ77" s="32"/>
      <c r="BA77" s="32"/>
      <c r="BB77" s="53"/>
      <c r="BC77" s="21" t="str">
        <f>IFERROR(VLOOKUP(January[[#This Row],[Drug Name8]],'Data Options'!$R$1:$S$100,2,FALSE), " ")</f>
        <v xml:space="preserve"> </v>
      </c>
      <c r="BD77" s="32"/>
      <c r="BE77" s="32"/>
      <c r="BF77" s="53"/>
      <c r="BG77" s="21" t="str">
        <f>IFERROR(VLOOKUP(January[[#This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21" t="str">
        <f>IFERROR(VLOOKUP(January[[#This Row],[Drug Name]],'Data Options'!$R$1:$S$100,2,FALSE), " ")</f>
        <v xml:space="preserve"> </v>
      </c>
      <c r="R78" s="32"/>
      <c r="S78" s="32"/>
      <c r="T78" s="53"/>
      <c r="U78" s="21" t="str">
        <f>IFERROR(VLOOKUP(January[[#This Row],[Drug Name2]],'Data Options'!$R$1:$S$100,2,FALSE), " ")</f>
        <v xml:space="preserve"> </v>
      </c>
      <c r="V78" s="32"/>
      <c r="W78" s="32"/>
      <c r="X78" s="53"/>
      <c r="Y78" s="21" t="str">
        <f>IFERROR(VLOOKUP(January[[#This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21" t="str">
        <f>IFERROR(VLOOKUP(January[[#This Row],[Drug Name4]],'Data Options'!$R$1:$S$100,2,FALSE), " ")</f>
        <v xml:space="preserve"> </v>
      </c>
      <c r="AI78" s="32"/>
      <c r="AJ78" s="32"/>
      <c r="AK78" s="53"/>
      <c r="AL78" s="21" t="str">
        <f>IFERROR(VLOOKUP(January[[#This Row],[Drug Name5]],'Data Options'!$R$1:$S$100,2,FALSE), " ")</f>
        <v xml:space="preserve"> </v>
      </c>
      <c r="AM78" s="32"/>
      <c r="AN78" s="32"/>
      <c r="AO78" s="53"/>
      <c r="AP78" s="21" t="str">
        <f>IFERROR(VLOOKUP(January[[#This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21" t="str">
        <f>IFERROR(VLOOKUP(January[[#This Row],[Drug Name7]],'Data Options'!$R$1:$S$100,2,FALSE), " ")</f>
        <v xml:space="preserve"> </v>
      </c>
      <c r="AZ78" s="32"/>
      <c r="BA78" s="32"/>
      <c r="BB78" s="53"/>
      <c r="BC78" s="21" t="str">
        <f>IFERROR(VLOOKUP(January[[#This Row],[Drug Name8]],'Data Options'!$R$1:$S$100,2,FALSE), " ")</f>
        <v xml:space="preserve"> </v>
      </c>
      <c r="BD78" s="32"/>
      <c r="BE78" s="32"/>
      <c r="BF78" s="53"/>
      <c r="BG78" s="21" t="str">
        <f>IFERROR(VLOOKUP(January[[#This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21" t="str">
        <f>IFERROR(VLOOKUP(January[[#This Row],[Drug Name]],'Data Options'!$R$1:$S$100,2,FALSE), " ")</f>
        <v xml:space="preserve"> </v>
      </c>
      <c r="R79" s="32"/>
      <c r="S79" s="32"/>
      <c r="T79" s="53"/>
      <c r="U79" s="21" t="str">
        <f>IFERROR(VLOOKUP(January[[#This Row],[Drug Name2]],'Data Options'!$R$1:$S$100,2,FALSE), " ")</f>
        <v xml:space="preserve"> </v>
      </c>
      <c r="V79" s="32"/>
      <c r="W79" s="32"/>
      <c r="X79" s="53"/>
      <c r="Y79" s="21" t="str">
        <f>IFERROR(VLOOKUP(January[[#This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21" t="str">
        <f>IFERROR(VLOOKUP(January[[#This Row],[Drug Name4]],'Data Options'!$R$1:$S$100,2,FALSE), " ")</f>
        <v xml:space="preserve"> </v>
      </c>
      <c r="AI79" s="32"/>
      <c r="AJ79" s="32"/>
      <c r="AK79" s="53"/>
      <c r="AL79" s="21" t="str">
        <f>IFERROR(VLOOKUP(January[[#This Row],[Drug Name5]],'Data Options'!$R$1:$S$100,2,FALSE), " ")</f>
        <v xml:space="preserve"> </v>
      </c>
      <c r="AM79" s="32"/>
      <c r="AN79" s="32"/>
      <c r="AO79" s="53"/>
      <c r="AP79" s="21" t="str">
        <f>IFERROR(VLOOKUP(January[[#This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21" t="str">
        <f>IFERROR(VLOOKUP(January[[#This Row],[Drug Name7]],'Data Options'!$R$1:$S$100,2,FALSE), " ")</f>
        <v xml:space="preserve"> </v>
      </c>
      <c r="AZ79" s="32"/>
      <c r="BA79" s="32"/>
      <c r="BB79" s="53"/>
      <c r="BC79" s="21" t="str">
        <f>IFERROR(VLOOKUP(January[[#This Row],[Drug Name8]],'Data Options'!$R$1:$S$100,2,FALSE), " ")</f>
        <v xml:space="preserve"> </v>
      </c>
      <c r="BD79" s="32"/>
      <c r="BE79" s="32"/>
      <c r="BF79" s="53"/>
      <c r="BG79" s="21" t="str">
        <f>IFERROR(VLOOKUP(January[[#This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21" t="str">
        <f>IFERROR(VLOOKUP(January[[#This Row],[Drug Name]],'Data Options'!$R$1:$S$100,2,FALSE), " ")</f>
        <v xml:space="preserve"> </v>
      </c>
      <c r="R80" s="32"/>
      <c r="S80" s="32"/>
      <c r="T80" s="53"/>
      <c r="U80" s="21" t="str">
        <f>IFERROR(VLOOKUP(January[[#This Row],[Drug Name2]],'Data Options'!$R$1:$S$100,2,FALSE), " ")</f>
        <v xml:space="preserve"> </v>
      </c>
      <c r="V80" s="32"/>
      <c r="W80" s="32"/>
      <c r="X80" s="53"/>
      <c r="Y80" s="21" t="str">
        <f>IFERROR(VLOOKUP(January[[#This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21" t="str">
        <f>IFERROR(VLOOKUP(January[[#This Row],[Drug Name4]],'Data Options'!$R$1:$S$100,2,FALSE), " ")</f>
        <v xml:space="preserve"> </v>
      </c>
      <c r="AI80" s="32"/>
      <c r="AJ80" s="32"/>
      <c r="AK80" s="53"/>
      <c r="AL80" s="21" t="str">
        <f>IFERROR(VLOOKUP(January[[#This Row],[Drug Name5]],'Data Options'!$R$1:$S$100,2,FALSE), " ")</f>
        <v xml:space="preserve"> </v>
      </c>
      <c r="AM80" s="32"/>
      <c r="AN80" s="32"/>
      <c r="AO80" s="53"/>
      <c r="AP80" s="21" t="str">
        <f>IFERROR(VLOOKUP(January[[#This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21" t="str">
        <f>IFERROR(VLOOKUP(January[[#This Row],[Drug Name7]],'Data Options'!$R$1:$S$100,2,FALSE), " ")</f>
        <v xml:space="preserve"> </v>
      </c>
      <c r="AZ80" s="32"/>
      <c r="BA80" s="32"/>
      <c r="BB80" s="53"/>
      <c r="BC80" s="21" t="str">
        <f>IFERROR(VLOOKUP(January[[#This Row],[Drug Name8]],'Data Options'!$R$1:$S$100,2,FALSE), " ")</f>
        <v xml:space="preserve"> </v>
      </c>
      <c r="BD80" s="32"/>
      <c r="BE80" s="32"/>
      <c r="BF80" s="53"/>
      <c r="BG80" s="21" t="str">
        <f>IFERROR(VLOOKUP(January[[#This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21" t="str">
        <f>IFERROR(VLOOKUP(January[[#This Row],[Drug Name]],'Data Options'!$R$1:$S$100,2,FALSE), " ")</f>
        <v xml:space="preserve"> </v>
      </c>
      <c r="R81" s="32"/>
      <c r="S81" s="32"/>
      <c r="T81" s="53"/>
      <c r="U81" s="21" t="str">
        <f>IFERROR(VLOOKUP(January[[#This Row],[Drug Name2]],'Data Options'!$R$1:$S$100,2,FALSE), " ")</f>
        <v xml:space="preserve"> </v>
      </c>
      <c r="V81" s="32"/>
      <c r="W81" s="32"/>
      <c r="X81" s="53"/>
      <c r="Y81" s="21" t="str">
        <f>IFERROR(VLOOKUP(January[[#This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21" t="str">
        <f>IFERROR(VLOOKUP(January[[#This Row],[Drug Name4]],'Data Options'!$R$1:$S$100,2,FALSE), " ")</f>
        <v xml:space="preserve"> </v>
      </c>
      <c r="AI81" s="32"/>
      <c r="AJ81" s="32"/>
      <c r="AK81" s="53"/>
      <c r="AL81" s="21" t="str">
        <f>IFERROR(VLOOKUP(January[[#This Row],[Drug Name5]],'Data Options'!$R$1:$S$100,2,FALSE), " ")</f>
        <v xml:space="preserve"> </v>
      </c>
      <c r="AM81" s="32"/>
      <c r="AN81" s="32"/>
      <c r="AO81" s="53"/>
      <c r="AP81" s="21" t="str">
        <f>IFERROR(VLOOKUP(January[[#This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21" t="str">
        <f>IFERROR(VLOOKUP(January[[#This Row],[Drug Name7]],'Data Options'!$R$1:$S$100,2,FALSE), " ")</f>
        <v xml:space="preserve"> </v>
      </c>
      <c r="AZ81" s="32"/>
      <c r="BA81" s="32"/>
      <c r="BB81" s="53"/>
      <c r="BC81" s="21" t="str">
        <f>IFERROR(VLOOKUP(January[[#This Row],[Drug Name8]],'Data Options'!$R$1:$S$100,2,FALSE), " ")</f>
        <v xml:space="preserve"> </v>
      </c>
      <c r="BD81" s="32"/>
      <c r="BE81" s="32"/>
      <c r="BF81" s="53"/>
      <c r="BG81" s="21" t="str">
        <f>IFERROR(VLOOKUP(January[[#This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21" t="str">
        <f>IFERROR(VLOOKUP(January[[#This Row],[Drug Name]],'Data Options'!$R$1:$S$100,2,FALSE), " ")</f>
        <v xml:space="preserve"> </v>
      </c>
      <c r="R82" s="32"/>
      <c r="S82" s="32"/>
      <c r="T82" s="53"/>
      <c r="U82" s="21" t="str">
        <f>IFERROR(VLOOKUP(January[[#This Row],[Drug Name2]],'Data Options'!$R$1:$S$100,2,FALSE), " ")</f>
        <v xml:space="preserve"> </v>
      </c>
      <c r="V82" s="32"/>
      <c r="W82" s="32"/>
      <c r="X82" s="53"/>
      <c r="Y82" s="21" t="str">
        <f>IFERROR(VLOOKUP(January[[#This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21" t="str">
        <f>IFERROR(VLOOKUP(January[[#This Row],[Drug Name4]],'Data Options'!$R$1:$S$100,2,FALSE), " ")</f>
        <v xml:space="preserve"> </v>
      </c>
      <c r="AI82" s="32"/>
      <c r="AJ82" s="32"/>
      <c r="AK82" s="53"/>
      <c r="AL82" s="21" t="str">
        <f>IFERROR(VLOOKUP(January[[#This Row],[Drug Name5]],'Data Options'!$R$1:$S$100,2,FALSE), " ")</f>
        <v xml:space="preserve"> </v>
      </c>
      <c r="AM82" s="32"/>
      <c r="AN82" s="32"/>
      <c r="AO82" s="53"/>
      <c r="AP82" s="21" t="str">
        <f>IFERROR(VLOOKUP(January[[#This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21" t="str">
        <f>IFERROR(VLOOKUP(January[[#This Row],[Drug Name7]],'Data Options'!$R$1:$S$100,2,FALSE), " ")</f>
        <v xml:space="preserve"> </v>
      </c>
      <c r="AZ82" s="32"/>
      <c r="BA82" s="32"/>
      <c r="BB82" s="53"/>
      <c r="BC82" s="21" t="str">
        <f>IFERROR(VLOOKUP(January[[#This Row],[Drug Name8]],'Data Options'!$R$1:$S$100,2,FALSE), " ")</f>
        <v xml:space="preserve"> </v>
      </c>
      <c r="BD82" s="32"/>
      <c r="BE82" s="32"/>
      <c r="BF82" s="53"/>
      <c r="BG82" s="21" t="str">
        <f>IFERROR(VLOOKUP(January[[#This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21" t="str">
        <f>IFERROR(VLOOKUP(January[[#This Row],[Drug Name]],'Data Options'!$R$1:$S$100,2,FALSE), " ")</f>
        <v xml:space="preserve"> </v>
      </c>
      <c r="R83" s="32"/>
      <c r="S83" s="32"/>
      <c r="T83" s="53"/>
      <c r="U83" s="21" t="str">
        <f>IFERROR(VLOOKUP(January[[#This Row],[Drug Name2]],'Data Options'!$R$1:$S$100,2,FALSE), " ")</f>
        <v xml:space="preserve"> </v>
      </c>
      <c r="V83" s="32"/>
      <c r="W83" s="32"/>
      <c r="X83" s="53"/>
      <c r="Y83" s="21" t="str">
        <f>IFERROR(VLOOKUP(January[[#This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21" t="str">
        <f>IFERROR(VLOOKUP(January[[#This Row],[Drug Name4]],'Data Options'!$R$1:$S$100,2,FALSE), " ")</f>
        <v xml:space="preserve"> </v>
      </c>
      <c r="AI83" s="32"/>
      <c r="AJ83" s="32"/>
      <c r="AK83" s="53"/>
      <c r="AL83" s="21" t="str">
        <f>IFERROR(VLOOKUP(January[[#This Row],[Drug Name5]],'Data Options'!$R$1:$S$100,2,FALSE), " ")</f>
        <v xml:space="preserve"> </v>
      </c>
      <c r="AM83" s="32"/>
      <c r="AN83" s="32"/>
      <c r="AO83" s="53"/>
      <c r="AP83" s="21" t="str">
        <f>IFERROR(VLOOKUP(January[[#This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21" t="str">
        <f>IFERROR(VLOOKUP(January[[#This Row],[Drug Name7]],'Data Options'!$R$1:$S$100,2,FALSE), " ")</f>
        <v xml:space="preserve"> </v>
      </c>
      <c r="AZ83" s="32"/>
      <c r="BA83" s="32"/>
      <c r="BB83" s="53"/>
      <c r="BC83" s="21" t="str">
        <f>IFERROR(VLOOKUP(January[[#This Row],[Drug Name8]],'Data Options'!$R$1:$S$100,2,FALSE), " ")</f>
        <v xml:space="preserve"> </v>
      </c>
      <c r="BD83" s="32"/>
      <c r="BE83" s="32"/>
      <c r="BF83" s="53"/>
      <c r="BG83" s="21" t="str">
        <f>IFERROR(VLOOKUP(January[[#This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21" t="str">
        <f>IFERROR(VLOOKUP(January[[#This Row],[Drug Name]],'Data Options'!$R$1:$S$100,2,FALSE), " ")</f>
        <v xml:space="preserve"> </v>
      </c>
      <c r="R84" s="32"/>
      <c r="S84" s="32"/>
      <c r="T84" s="53"/>
      <c r="U84" s="21" t="str">
        <f>IFERROR(VLOOKUP(January[[#This Row],[Drug Name2]],'Data Options'!$R$1:$S$100,2,FALSE), " ")</f>
        <v xml:space="preserve"> </v>
      </c>
      <c r="V84" s="32"/>
      <c r="W84" s="32"/>
      <c r="X84" s="53"/>
      <c r="Y84" s="21" t="str">
        <f>IFERROR(VLOOKUP(January[[#This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21" t="str">
        <f>IFERROR(VLOOKUP(January[[#This Row],[Drug Name4]],'Data Options'!$R$1:$S$100,2,FALSE), " ")</f>
        <v xml:space="preserve"> </v>
      </c>
      <c r="AI84" s="32"/>
      <c r="AJ84" s="32"/>
      <c r="AK84" s="53"/>
      <c r="AL84" s="21" t="str">
        <f>IFERROR(VLOOKUP(January[[#This Row],[Drug Name5]],'Data Options'!$R$1:$S$100,2,FALSE), " ")</f>
        <v xml:space="preserve"> </v>
      </c>
      <c r="AM84" s="32"/>
      <c r="AN84" s="32"/>
      <c r="AO84" s="53"/>
      <c r="AP84" s="21" t="str">
        <f>IFERROR(VLOOKUP(January[[#This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21" t="str">
        <f>IFERROR(VLOOKUP(January[[#This Row],[Drug Name7]],'Data Options'!$R$1:$S$100,2,FALSE), " ")</f>
        <v xml:space="preserve"> </v>
      </c>
      <c r="AZ84" s="32"/>
      <c r="BA84" s="32"/>
      <c r="BB84" s="53"/>
      <c r="BC84" s="21" t="str">
        <f>IFERROR(VLOOKUP(January[[#This Row],[Drug Name8]],'Data Options'!$R$1:$S$100,2,FALSE), " ")</f>
        <v xml:space="preserve"> </v>
      </c>
      <c r="BD84" s="32"/>
      <c r="BE84" s="32"/>
      <c r="BF84" s="53"/>
      <c r="BG84" s="21" t="str">
        <f>IFERROR(VLOOKUP(January[[#This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21" t="str">
        <f>IFERROR(VLOOKUP(January[[#This Row],[Drug Name]],'Data Options'!$R$1:$S$100,2,FALSE), " ")</f>
        <v xml:space="preserve"> </v>
      </c>
      <c r="R85" s="32"/>
      <c r="S85" s="32"/>
      <c r="T85" s="53"/>
      <c r="U85" s="21" t="str">
        <f>IFERROR(VLOOKUP(January[[#This Row],[Drug Name2]],'Data Options'!$R$1:$S$100,2,FALSE), " ")</f>
        <v xml:space="preserve"> </v>
      </c>
      <c r="V85" s="32"/>
      <c r="W85" s="32"/>
      <c r="X85" s="53"/>
      <c r="Y85" s="21" t="str">
        <f>IFERROR(VLOOKUP(January[[#This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21" t="str">
        <f>IFERROR(VLOOKUP(January[[#This Row],[Drug Name4]],'Data Options'!$R$1:$S$100,2,FALSE), " ")</f>
        <v xml:space="preserve"> </v>
      </c>
      <c r="AI85" s="32"/>
      <c r="AJ85" s="32"/>
      <c r="AK85" s="53"/>
      <c r="AL85" s="21" t="str">
        <f>IFERROR(VLOOKUP(January[[#This Row],[Drug Name5]],'Data Options'!$R$1:$S$100,2,FALSE), " ")</f>
        <v xml:space="preserve"> </v>
      </c>
      <c r="AM85" s="32"/>
      <c r="AN85" s="32"/>
      <c r="AO85" s="53"/>
      <c r="AP85" s="21" t="str">
        <f>IFERROR(VLOOKUP(January[[#This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21" t="str">
        <f>IFERROR(VLOOKUP(January[[#This Row],[Drug Name7]],'Data Options'!$R$1:$S$100,2,FALSE), " ")</f>
        <v xml:space="preserve"> </v>
      </c>
      <c r="AZ85" s="32"/>
      <c r="BA85" s="32"/>
      <c r="BB85" s="53"/>
      <c r="BC85" s="21" t="str">
        <f>IFERROR(VLOOKUP(January[[#This Row],[Drug Name8]],'Data Options'!$R$1:$S$100,2,FALSE), " ")</f>
        <v xml:space="preserve"> </v>
      </c>
      <c r="BD85" s="32"/>
      <c r="BE85" s="32"/>
      <c r="BF85" s="53"/>
      <c r="BG85" s="21" t="str">
        <f>IFERROR(VLOOKUP(January[[#This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21" t="str">
        <f>IFERROR(VLOOKUP(January[[#This Row],[Drug Name]],'Data Options'!$R$1:$S$100,2,FALSE), " ")</f>
        <v xml:space="preserve"> </v>
      </c>
      <c r="R86" s="32"/>
      <c r="S86" s="32"/>
      <c r="T86" s="53"/>
      <c r="U86" s="21" t="str">
        <f>IFERROR(VLOOKUP(January[[#This Row],[Drug Name2]],'Data Options'!$R$1:$S$100,2,FALSE), " ")</f>
        <v xml:space="preserve"> </v>
      </c>
      <c r="V86" s="32"/>
      <c r="W86" s="32"/>
      <c r="X86" s="53"/>
      <c r="Y86" s="21" t="str">
        <f>IFERROR(VLOOKUP(January[[#This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21" t="str">
        <f>IFERROR(VLOOKUP(January[[#This Row],[Drug Name4]],'Data Options'!$R$1:$S$100,2,FALSE), " ")</f>
        <v xml:space="preserve"> </v>
      </c>
      <c r="AI86" s="32"/>
      <c r="AJ86" s="32"/>
      <c r="AK86" s="53"/>
      <c r="AL86" s="21" t="str">
        <f>IFERROR(VLOOKUP(January[[#This Row],[Drug Name5]],'Data Options'!$R$1:$S$100,2,FALSE), " ")</f>
        <v xml:space="preserve"> </v>
      </c>
      <c r="AM86" s="32"/>
      <c r="AN86" s="32"/>
      <c r="AO86" s="53"/>
      <c r="AP86" s="21" t="str">
        <f>IFERROR(VLOOKUP(January[[#This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21" t="str">
        <f>IFERROR(VLOOKUP(January[[#This Row],[Drug Name7]],'Data Options'!$R$1:$S$100,2,FALSE), " ")</f>
        <v xml:space="preserve"> </v>
      </c>
      <c r="AZ86" s="32"/>
      <c r="BA86" s="32"/>
      <c r="BB86" s="53"/>
      <c r="BC86" s="21" t="str">
        <f>IFERROR(VLOOKUP(January[[#This Row],[Drug Name8]],'Data Options'!$R$1:$S$100,2,FALSE), " ")</f>
        <v xml:space="preserve"> </v>
      </c>
      <c r="BD86" s="32"/>
      <c r="BE86" s="32"/>
      <c r="BF86" s="53"/>
      <c r="BG86" s="21" t="str">
        <f>IFERROR(VLOOKUP(January[[#This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21" t="str">
        <f>IFERROR(VLOOKUP(January[[#This Row],[Drug Name]],'Data Options'!$R$1:$S$100,2,FALSE), " ")</f>
        <v xml:space="preserve"> </v>
      </c>
      <c r="R87" s="32"/>
      <c r="S87" s="32"/>
      <c r="T87" s="53"/>
      <c r="U87" s="21" t="str">
        <f>IFERROR(VLOOKUP(January[[#This Row],[Drug Name2]],'Data Options'!$R$1:$S$100,2,FALSE), " ")</f>
        <v xml:space="preserve"> </v>
      </c>
      <c r="V87" s="32"/>
      <c r="W87" s="32"/>
      <c r="X87" s="53"/>
      <c r="Y87" s="21" t="str">
        <f>IFERROR(VLOOKUP(January[[#This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21" t="str">
        <f>IFERROR(VLOOKUP(January[[#This Row],[Drug Name4]],'Data Options'!$R$1:$S$100,2,FALSE), " ")</f>
        <v xml:space="preserve"> </v>
      </c>
      <c r="AI87" s="32"/>
      <c r="AJ87" s="32"/>
      <c r="AK87" s="53"/>
      <c r="AL87" s="21" t="str">
        <f>IFERROR(VLOOKUP(January[[#This Row],[Drug Name5]],'Data Options'!$R$1:$S$100,2,FALSE), " ")</f>
        <v xml:space="preserve"> </v>
      </c>
      <c r="AM87" s="32"/>
      <c r="AN87" s="32"/>
      <c r="AO87" s="53"/>
      <c r="AP87" s="21" t="str">
        <f>IFERROR(VLOOKUP(January[[#This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21" t="str">
        <f>IFERROR(VLOOKUP(January[[#This Row],[Drug Name7]],'Data Options'!$R$1:$S$100,2,FALSE), " ")</f>
        <v xml:space="preserve"> </v>
      </c>
      <c r="AZ87" s="32"/>
      <c r="BA87" s="32"/>
      <c r="BB87" s="53"/>
      <c r="BC87" s="21" t="str">
        <f>IFERROR(VLOOKUP(January[[#This Row],[Drug Name8]],'Data Options'!$R$1:$S$100,2,FALSE), " ")</f>
        <v xml:space="preserve"> </v>
      </c>
      <c r="BD87" s="32"/>
      <c r="BE87" s="32"/>
      <c r="BF87" s="53"/>
      <c r="BG87" s="21" t="str">
        <f>IFERROR(VLOOKUP(January[[#This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21" t="str">
        <f>IFERROR(VLOOKUP(January[[#This Row],[Drug Name]],'Data Options'!$R$1:$S$100,2,FALSE), " ")</f>
        <v xml:space="preserve"> </v>
      </c>
      <c r="R88" s="32"/>
      <c r="S88" s="32"/>
      <c r="T88" s="53"/>
      <c r="U88" s="21" t="str">
        <f>IFERROR(VLOOKUP(January[[#This Row],[Drug Name2]],'Data Options'!$R$1:$S$100,2,FALSE), " ")</f>
        <v xml:space="preserve"> </v>
      </c>
      <c r="V88" s="32"/>
      <c r="W88" s="32"/>
      <c r="X88" s="53"/>
      <c r="Y88" s="21" t="str">
        <f>IFERROR(VLOOKUP(January[[#This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21" t="str">
        <f>IFERROR(VLOOKUP(January[[#This Row],[Drug Name4]],'Data Options'!$R$1:$S$100,2,FALSE), " ")</f>
        <v xml:space="preserve"> </v>
      </c>
      <c r="AI88" s="32"/>
      <c r="AJ88" s="32"/>
      <c r="AK88" s="53"/>
      <c r="AL88" s="21" t="str">
        <f>IFERROR(VLOOKUP(January[[#This Row],[Drug Name5]],'Data Options'!$R$1:$S$100,2,FALSE), " ")</f>
        <v xml:space="preserve"> </v>
      </c>
      <c r="AM88" s="32"/>
      <c r="AN88" s="32"/>
      <c r="AO88" s="53"/>
      <c r="AP88" s="21" t="str">
        <f>IFERROR(VLOOKUP(January[[#This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21" t="str">
        <f>IFERROR(VLOOKUP(January[[#This Row],[Drug Name7]],'Data Options'!$R$1:$S$100,2,FALSE), " ")</f>
        <v xml:space="preserve"> </v>
      </c>
      <c r="AZ88" s="32"/>
      <c r="BA88" s="32"/>
      <c r="BB88" s="53"/>
      <c r="BC88" s="21" t="str">
        <f>IFERROR(VLOOKUP(January[[#This Row],[Drug Name8]],'Data Options'!$R$1:$S$100,2,FALSE), " ")</f>
        <v xml:space="preserve"> </v>
      </c>
      <c r="BD88" s="32"/>
      <c r="BE88" s="32"/>
      <c r="BF88" s="53"/>
      <c r="BG88" s="21" t="str">
        <f>IFERROR(VLOOKUP(January[[#This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21" t="str">
        <f>IFERROR(VLOOKUP(January[[#This Row],[Drug Name]],'Data Options'!$R$1:$S$100,2,FALSE), " ")</f>
        <v xml:space="preserve"> </v>
      </c>
      <c r="R89" s="32"/>
      <c r="S89" s="32"/>
      <c r="T89" s="53"/>
      <c r="U89" s="21" t="str">
        <f>IFERROR(VLOOKUP(January[[#This Row],[Drug Name2]],'Data Options'!$R$1:$S$100,2,FALSE), " ")</f>
        <v xml:space="preserve"> </v>
      </c>
      <c r="V89" s="32"/>
      <c r="W89" s="32"/>
      <c r="X89" s="53"/>
      <c r="Y89" s="21" t="str">
        <f>IFERROR(VLOOKUP(January[[#This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21" t="str">
        <f>IFERROR(VLOOKUP(January[[#This Row],[Drug Name4]],'Data Options'!$R$1:$S$100,2,FALSE), " ")</f>
        <v xml:space="preserve"> </v>
      </c>
      <c r="AI89" s="32"/>
      <c r="AJ89" s="32"/>
      <c r="AK89" s="53"/>
      <c r="AL89" s="21" t="str">
        <f>IFERROR(VLOOKUP(January[[#This Row],[Drug Name5]],'Data Options'!$R$1:$S$100,2,FALSE), " ")</f>
        <v xml:space="preserve"> </v>
      </c>
      <c r="AM89" s="32"/>
      <c r="AN89" s="32"/>
      <c r="AO89" s="53"/>
      <c r="AP89" s="21" t="str">
        <f>IFERROR(VLOOKUP(January[[#This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21" t="str">
        <f>IFERROR(VLOOKUP(January[[#This Row],[Drug Name7]],'Data Options'!$R$1:$S$100,2,FALSE), " ")</f>
        <v xml:space="preserve"> </v>
      </c>
      <c r="AZ89" s="32"/>
      <c r="BA89" s="32"/>
      <c r="BB89" s="53"/>
      <c r="BC89" s="21" t="str">
        <f>IFERROR(VLOOKUP(January[[#This Row],[Drug Name8]],'Data Options'!$R$1:$S$100,2,FALSE), " ")</f>
        <v xml:space="preserve"> </v>
      </c>
      <c r="BD89" s="32"/>
      <c r="BE89" s="32"/>
      <c r="BF89" s="53"/>
      <c r="BG89" s="21" t="str">
        <f>IFERROR(VLOOKUP(January[[#This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21" t="str">
        <f>IFERROR(VLOOKUP(January[[#This Row],[Drug Name]],'Data Options'!$R$1:$S$100,2,FALSE), " ")</f>
        <v xml:space="preserve"> </v>
      </c>
      <c r="R90" s="32"/>
      <c r="S90" s="32"/>
      <c r="T90" s="53"/>
      <c r="U90" s="21" t="str">
        <f>IFERROR(VLOOKUP(January[[#This Row],[Drug Name2]],'Data Options'!$R$1:$S$100,2,FALSE), " ")</f>
        <v xml:space="preserve"> </v>
      </c>
      <c r="V90" s="32"/>
      <c r="W90" s="32"/>
      <c r="X90" s="53"/>
      <c r="Y90" s="21" t="str">
        <f>IFERROR(VLOOKUP(January[[#This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21" t="str">
        <f>IFERROR(VLOOKUP(January[[#This Row],[Drug Name4]],'Data Options'!$R$1:$S$100,2,FALSE), " ")</f>
        <v xml:space="preserve"> </v>
      </c>
      <c r="AI90" s="32"/>
      <c r="AJ90" s="32"/>
      <c r="AK90" s="53"/>
      <c r="AL90" s="21" t="str">
        <f>IFERROR(VLOOKUP(January[[#This Row],[Drug Name5]],'Data Options'!$R$1:$S$100,2,FALSE), " ")</f>
        <v xml:space="preserve"> </v>
      </c>
      <c r="AM90" s="32"/>
      <c r="AN90" s="32"/>
      <c r="AO90" s="53"/>
      <c r="AP90" s="21" t="str">
        <f>IFERROR(VLOOKUP(January[[#This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21" t="str">
        <f>IFERROR(VLOOKUP(January[[#This Row],[Drug Name7]],'Data Options'!$R$1:$S$100,2,FALSE), " ")</f>
        <v xml:space="preserve"> </v>
      </c>
      <c r="AZ90" s="32"/>
      <c r="BA90" s="32"/>
      <c r="BB90" s="53"/>
      <c r="BC90" s="21" t="str">
        <f>IFERROR(VLOOKUP(January[[#This Row],[Drug Name8]],'Data Options'!$R$1:$S$100,2,FALSE), " ")</f>
        <v xml:space="preserve"> </v>
      </c>
      <c r="BD90" s="32"/>
      <c r="BE90" s="32"/>
      <c r="BF90" s="53"/>
      <c r="BG90" s="21" t="str">
        <f>IFERROR(VLOOKUP(January[[#This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21" t="str">
        <f>IFERROR(VLOOKUP(January[[#This Row],[Drug Name]],'Data Options'!$R$1:$S$100,2,FALSE), " ")</f>
        <v xml:space="preserve"> </v>
      </c>
      <c r="R91" s="32"/>
      <c r="S91" s="32"/>
      <c r="T91" s="53"/>
      <c r="U91" s="21" t="str">
        <f>IFERROR(VLOOKUP(January[[#This Row],[Drug Name2]],'Data Options'!$R$1:$S$100,2,FALSE), " ")</f>
        <v xml:space="preserve"> </v>
      </c>
      <c r="V91" s="32"/>
      <c r="W91" s="32"/>
      <c r="X91" s="53"/>
      <c r="Y91" s="21" t="str">
        <f>IFERROR(VLOOKUP(January[[#This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21" t="str">
        <f>IFERROR(VLOOKUP(January[[#This Row],[Drug Name4]],'Data Options'!$R$1:$S$100,2,FALSE), " ")</f>
        <v xml:space="preserve"> </v>
      </c>
      <c r="AI91" s="32"/>
      <c r="AJ91" s="32"/>
      <c r="AK91" s="53"/>
      <c r="AL91" s="21" t="str">
        <f>IFERROR(VLOOKUP(January[[#This Row],[Drug Name5]],'Data Options'!$R$1:$S$100,2,FALSE), " ")</f>
        <v xml:space="preserve"> </v>
      </c>
      <c r="AM91" s="32"/>
      <c r="AN91" s="32"/>
      <c r="AO91" s="53"/>
      <c r="AP91" s="21" t="str">
        <f>IFERROR(VLOOKUP(January[[#This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21" t="str">
        <f>IFERROR(VLOOKUP(January[[#This Row],[Drug Name7]],'Data Options'!$R$1:$S$100,2,FALSE), " ")</f>
        <v xml:space="preserve"> </v>
      </c>
      <c r="AZ91" s="32"/>
      <c r="BA91" s="32"/>
      <c r="BB91" s="53"/>
      <c r="BC91" s="21" t="str">
        <f>IFERROR(VLOOKUP(January[[#This Row],[Drug Name8]],'Data Options'!$R$1:$S$100,2,FALSE), " ")</f>
        <v xml:space="preserve"> </v>
      </c>
      <c r="BD91" s="32"/>
      <c r="BE91" s="32"/>
      <c r="BF91" s="53"/>
      <c r="BG91" s="21" t="str">
        <f>IFERROR(VLOOKUP(January[[#This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21" t="str">
        <f>IFERROR(VLOOKUP(January[[#This Row],[Drug Name]],'Data Options'!$R$1:$S$100,2,FALSE), " ")</f>
        <v xml:space="preserve"> </v>
      </c>
      <c r="R92" s="32"/>
      <c r="S92" s="32"/>
      <c r="T92" s="53"/>
      <c r="U92" s="21" t="str">
        <f>IFERROR(VLOOKUP(January[[#This Row],[Drug Name2]],'Data Options'!$R$1:$S$100,2,FALSE), " ")</f>
        <v xml:space="preserve"> </v>
      </c>
      <c r="V92" s="32"/>
      <c r="W92" s="32"/>
      <c r="X92" s="53"/>
      <c r="Y92" s="21" t="str">
        <f>IFERROR(VLOOKUP(January[[#This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21" t="str">
        <f>IFERROR(VLOOKUP(January[[#This Row],[Drug Name4]],'Data Options'!$R$1:$S$100,2,FALSE), " ")</f>
        <v xml:space="preserve"> </v>
      </c>
      <c r="AI92" s="32"/>
      <c r="AJ92" s="32"/>
      <c r="AK92" s="53"/>
      <c r="AL92" s="21" t="str">
        <f>IFERROR(VLOOKUP(January[[#This Row],[Drug Name5]],'Data Options'!$R$1:$S$100,2,FALSE), " ")</f>
        <v xml:space="preserve"> </v>
      </c>
      <c r="AM92" s="32"/>
      <c r="AN92" s="32"/>
      <c r="AO92" s="53"/>
      <c r="AP92" s="21" t="str">
        <f>IFERROR(VLOOKUP(January[[#This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21" t="str">
        <f>IFERROR(VLOOKUP(January[[#This Row],[Drug Name7]],'Data Options'!$R$1:$S$100,2,FALSE), " ")</f>
        <v xml:space="preserve"> </v>
      </c>
      <c r="AZ92" s="32"/>
      <c r="BA92" s="32"/>
      <c r="BB92" s="53"/>
      <c r="BC92" s="21" t="str">
        <f>IFERROR(VLOOKUP(January[[#This Row],[Drug Name8]],'Data Options'!$R$1:$S$100,2,FALSE), " ")</f>
        <v xml:space="preserve"> </v>
      </c>
      <c r="BD92" s="32"/>
      <c r="BE92" s="32"/>
      <c r="BF92" s="53"/>
      <c r="BG92" s="21" t="str">
        <f>IFERROR(VLOOKUP(January[[#This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21" t="str">
        <f>IFERROR(VLOOKUP(January[[#This Row],[Drug Name]],'Data Options'!$R$1:$S$100,2,FALSE), " ")</f>
        <v xml:space="preserve"> </v>
      </c>
      <c r="R93" s="32"/>
      <c r="S93" s="32"/>
      <c r="T93" s="53"/>
      <c r="U93" s="21" t="str">
        <f>IFERROR(VLOOKUP(January[[#This Row],[Drug Name2]],'Data Options'!$R$1:$S$100,2,FALSE), " ")</f>
        <v xml:space="preserve"> </v>
      </c>
      <c r="V93" s="32"/>
      <c r="W93" s="32"/>
      <c r="X93" s="53"/>
      <c r="Y93" s="21" t="str">
        <f>IFERROR(VLOOKUP(January[[#This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21" t="str">
        <f>IFERROR(VLOOKUP(January[[#This Row],[Drug Name4]],'Data Options'!$R$1:$S$100,2,FALSE), " ")</f>
        <v xml:space="preserve"> </v>
      </c>
      <c r="AI93" s="32"/>
      <c r="AJ93" s="32"/>
      <c r="AK93" s="53"/>
      <c r="AL93" s="21" t="str">
        <f>IFERROR(VLOOKUP(January[[#This Row],[Drug Name5]],'Data Options'!$R$1:$S$100,2,FALSE), " ")</f>
        <v xml:space="preserve"> </v>
      </c>
      <c r="AM93" s="32"/>
      <c r="AN93" s="32"/>
      <c r="AO93" s="53"/>
      <c r="AP93" s="21" t="str">
        <f>IFERROR(VLOOKUP(January[[#This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21" t="str">
        <f>IFERROR(VLOOKUP(January[[#This Row],[Drug Name7]],'Data Options'!$R$1:$S$100,2,FALSE), " ")</f>
        <v xml:space="preserve"> </v>
      </c>
      <c r="AZ93" s="32"/>
      <c r="BA93" s="32"/>
      <c r="BB93" s="53"/>
      <c r="BC93" s="21" t="str">
        <f>IFERROR(VLOOKUP(January[[#This Row],[Drug Name8]],'Data Options'!$R$1:$S$100,2,FALSE), " ")</f>
        <v xml:space="preserve"> </v>
      </c>
      <c r="BD93" s="32"/>
      <c r="BE93" s="32"/>
      <c r="BF93" s="53"/>
      <c r="BG93" s="21" t="str">
        <f>IFERROR(VLOOKUP(January[[#This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21" t="str">
        <f>IFERROR(VLOOKUP(January[[#This Row],[Drug Name]],'Data Options'!$R$1:$S$100,2,FALSE), " ")</f>
        <v xml:space="preserve"> </v>
      </c>
      <c r="R94" s="32"/>
      <c r="S94" s="32"/>
      <c r="T94" s="53"/>
      <c r="U94" s="21" t="str">
        <f>IFERROR(VLOOKUP(January[[#This Row],[Drug Name2]],'Data Options'!$R$1:$S$100,2,FALSE), " ")</f>
        <v xml:space="preserve"> </v>
      </c>
      <c r="V94" s="32"/>
      <c r="W94" s="32"/>
      <c r="X94" s="53"/>
      <c r="Y94" s="21" t="str">
        <f>IFERROR(VLOOKUP(January[[#This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21" t="str">
        <f>IFERROR(VLOOKUP(January[[#This Row],[Drug Name4]],'Data Options'!$R$1:$S$100,2,FALSE), " ")</f>
        <v xml:space="preserve"> </v>
      </c>
      <c r="AI94" s="32"/>
      <c r="AJ94" s="32"/>
      <c r="AK94" s="53"/>
      <c r="AL94" s="21" t="str">
        <f>IFERROR(VLOOKUP(January[[#This Row],[Drug Name5]],'Data Options'!$R$1:$S$100,2,FALSE), " ")</f>
        <v xml:space="preserve"> </v>
      </c>
      <c r="AM94" s="32"/>
      <c r="AN94" s="32"/>
      <c r="AO94" s="53"/>
      <c r="AP94" s="21" t="str">
        <f>IFERROR(VLOOKUP(January[[#This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21" t="str">
        <f>IFERROR(VLOOKUP(January[[#This Row],[Drug Name7]],'Data Options'!$R$1:$S$100,2,FALSE), " ")</f>
        <v xml:space="preserve"> </v>
      </c>
      <c r="AZ94" s="32"/>
      <c r="BA94" s="32"/>
      <c r="BB94" s="53"/>
      <c r="BC94" s="21" t="str">
        <f>IFERROR(VLOOKUP(January[[#This Row],[Drug Name8]],'Data Options'!$R$1:$S$100,2,FALSE), " ")</f>
        <v xml:space="preserve"> </v>
      </c>
      <c r="BD94" s="32"/>
      <c r="BE94" s="32"/>
      <c r="BF94" s="53"/>
      <c r="BG94" s="21" t="str">
        <f>IFERROR(VLOOKUP(January[[#This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21" t="str">
        <f>IFERROR(VLOOKUP(January[[#This Row],[Drug Name]],'Data Options'!$R$1:$S$100,2,FALSE), " ")</f>
        <v xml:space="preserve"> </v>
      </c>
      <c r="R95" s="32"/>
      <c r="S95" s="32"/>
      <c r="T95" s="53"/>
      <c r="U95" s="21" t="str">
        <f>IFERROR(VLOOKUP(January[[#This Row],[Drug Name2]],'Data Options'!$R$1:$S$100,2,FALSE), " ")</f>
        <v xml:space="preserve"> </v>
      </c>
      <c r="V95" s="32"/>
      <c r="W95" s="32"/>
      <c r="X95" s="53"/>
      <c r="Y95" s="21" t="str">
        <f>IFERROR(VLOOKUP(January[[#This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21" t="str">
        <f>IFERROR(VLOOKUP(January[[#This Row],[Drug Name4]],'Data Options'!$R$1:$S$100,2,FALSE), " ")</f>
        <v xml:space="preserve"> </v>
      </c>
      <c r="AI95" s="32"/>
      <c r="AJ95" s="32"/>
      <c r="AK95" s="53"/>
      <c r="AL95" s="21" t="str">
        <f>IFERROR(VLOOKUP(January[[#This Row],[Drug Name5]],'Data Options'!$R$1:$S$100,2,FALSE), " ")</f>
        <v xml:space="preserve"> </v>
      </c>
      <c r="AM95" s="32"/>
      <c r="AN95" s="32"/>
      <c r="AO95" s="53"/>
      <c r="AP95" s="21" t="str">
        <f>IFERROR(VLOOKUP(January[[#This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21" t="str">
        <f>IFERROR(VLOOKUP(January[[#This Row],[Drug Name7]],'Data Options'!$R$1:$S$100,2,FALSE), " ")</f>
        <v xml:space="preserve"> </v>
      </c>
      <c r="AZ95" s="32"/>
      <c r="BA95" s="32"/>
      <c r="BB95" s="53"/>
      <c r="BC95" s="21" t="str">
        <f>IFERROR(VLOOKUP(January[[#This Row],[Drug Name8]],'Data Options'!$R$1:$S$100,2,FALSE), " ")</f>
        <v xml:space="preserve"> </v>
      </c>
      <c r="BD95" s="32"/>
      <c r="BE95" s="32"/>
      <c r="BF95" s="53"/>
      <c r="BG95" s="21" t="str">
        <f>IFERROR(VLOOKUP(January[[#This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21" t="str">
        <f>IFERROR(VLOOKUP(January[[#This Row],[Drug Name]],'Data Options'!$R$1:$S$100,2,FALSE), " ")</f>
        <v xml:space="preserve"> </v>
      </c>
      <c r="R96" s="32"/>
      <c r="S96" s="32"/>
      <c r="T96" s="53"/>
      <c r="U96" s="21" t="str">
        <f>IFERROR(VLOOKUP(January[[#This Row],[Drug Name2]],'Data Options'!$R$1:$S$100,2,FALSE), " ")</f>
        <v xml:space="preserve"> </v>
      </c>
      <c r="V96" s="32"/>
      <c r="W96" s="32"/>
      <c r="X96" s="53"/>
      <c r="Y96" s="21" t="str">
        <f>IFERROR(VLOOKUP(January[[#This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21" t="str">
        <f>IFERROR(VLOOKUP(January[[#This Row],[Drug Name4]],'Data Options'!$R$1:$S$100,2,FALSE), " ")</f>
        <v xml:space="preserve"> </v>
      </c>
      <c r="AI96" s="32"/>
      <c r="AJ96" s="32"/>
      <c r="AK96" s="53"/>
      <c r="AL96" s="21" t="str">
        <f>IFERROR(VLOOKUP(January[[#This Row],[Drug Name5]],'Data Options'!$R$1:$S$100,2,FALSE), " ")</f>
        <v xml:space="preserve"> </v>
      </c>
      <c r="AM96" s="32"/>
      <c r="AN96" s="32"/>
      <c r="AO96" s="53"/>
      <c r="AP96" s="21" t="str">
        <f>IFERROR(VLOOKUP(January[[#This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21" t="str">
        <f>IFERROR(VLOOKUP(January[[#This Row],[Drug Name7]],'Data Options'!$R$1:$S$100,2,FALSE), " ")</f>
        <v xml:space="preserve"> </v>
      </c>
      <c r="AZ96" s="32"/>
      <c r="BA96" s="32"/>
      <c r="BB96" s="53"/>
      <c r="BC96" s="21" t="str">
        <f>IFERROR(VLOOKUP(January[[#This Row],[Drug Name8]],'Data Options'!$R$1:$S$100,2,FALSE), " ")</f>
        <v xml:space="preserve"> </v>
      </c>
      <c r="BD96" s="32"/>
      <c r="BE96" s="32"/>
      <c r="BF96" s="53"/>
      <c r="BG96" s="21" t="str">
        <f>IFERROR(VLOOKUP(January[[#This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21" t="str">
        <f>IFERROR(VLOOKUP(January[[#This Row],[Drug Name]],'Data Options'!$R$1:$S$100,2,FALSE), " ")</f>
        <v xml:space="preserve"> </v>
      </c>
      <c r="R97" s="32"/>
      <c r="S97" s="32"/>
      <c r="T97" s="53"/>
      <c r="U97" s="21" t="str">
        <f>IFERROR(VLOOKUP(January[[#This Row],[Drug Name2]],'Data Options'!$R$1:$S$100,2,FALSE), " ")</f>
        <v xml:space="preserve"> </v>
      </c>
      <c r="V97" s="32"/>
      <c r="W97" s="32"/>
      <c r="X97" s="53"/>
      <c r="Y97" s="21" t="str">
        <f>IFERROR(VLOOKUP(January[[#This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21" t="str">
        <f>IFERROR(VLOOKUP(January[[#This Row],[Drug Name4]],'Data Options'!$R$1:$S$100,2,FALSE), " ")</f>
        <v xml:space="preserve"> </v>
      </c>
      <c r="AI97" s="32"/>
      <c r="AJ97" s="32"/>
      <c r="AK97" s="53"/>
      <c r="AL97" s="21" t="str">
        <f>IFERROR(VLOOKUP(January[[#This Row],[Drug Name5]],'Data Options'!$R$1:$S$100,2,FALSE), " ")</f>
        <v xml:space="preserve"> </v>
      </c>
      <c r="AM97" s="32"/>
      <c r="AN97" s="32"/>
      <c r="AO97" s="53"/>
      <c r="AP97" s="21" t="str">
        <f>IFERROR(VLOOKUP(January[[#This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21" t="str">
        <f>IFERROR(VLOOKUP(January[[#This Row],[Drug Name7]],'Data Options'!$R$1:$S$100,2,FALSE), " ")</f>
        <v xml:space="preserve"> </v>
      </c>
      <c r="AZ97" s="32"/>
      <c r="BA97" s="32"/>
      <c r="BB97" s="53"/>
      <c r="BC97" s="21" t="str">
        <f>IFERROR(VLOOKUP(January[[#This Row],[Drug Name8]],'Data Options'!$R$1:$S$100,2,FALSE), " ")</f>
        <v xml:space="preserve"> </v>
      </c>
      <c r="BD97" s="32"/>
      <c r="BE97" s="32"/>
      <c r="BF97" s="53"/>
      <c r="BG97" s="21" t="str">
        <f>IFERROR(VLOOKUP(January[[#This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21" t="str">
        <f>IFERROR(VLOOKUP(January[[#This Row],[Drug Name]],'Data Options'!$R$1:$S$100,2,FALSE), " ")</f>
        <v xml:space="preserve"> </v>
      </c>
      <c r="R98" s="32"/>
      <c r="S98" s="32"/>
      <c r="T98" s="53"/>
      <c r="U98" s="21" t="str">
        <f>IFERROR(VLOOKUP(January[[#This Row],[Drug Name2]],'Data Options'!$R$1:$S$100,2,FALSE), " ")</f>
        <v xml:space="preserve"> </v>
      </c>
      <c r="V98" s="32"/>
      <c r="W98" s="32"/>
      <c r="X98" s="53"/>
      <c r="Y98" s="21" t="str">
        <f>IFERROR(VLOOKUP(January[[#This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21" t="str">
        <f>IFERROR(VLOOKUP(January[[#This Row],[Drug Name4]],'Data Options'!$R$1:$S$100,2,FALSE), " ")</f>
        <v xml:space="preserve"> </v>
      </c>
      <c r="AI98" s="32"/>
      <c r="AJ98" s="32"/>
      <c r="AK98" s="53"/>
      <c r="AL98" s="21" t="str">
        <f>IFERROR(VLOOKUP(January[[#This Row],[Drug Name5]],'Data Options'!$R$1:$S$100,2,FALSE), " ")</f>
        <v xml:space="preserve"> </v>
      </c>
      <c r="AM98" s="32"/>
      <c r="AN98" s="32"/>
      <c r="AO98" s="53"/>
      <c r="AP98" s="21" t="str">
        <f>IFERROR(VLOOKUP(January[[#This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21" t="str">
        <f>IFERROR(VLOOKUP(January[[#This Row],[Drug Name7]],'Data Options'!$R$1:$S$100,2,FALSE), " ")</f>
        <v xml:space="preserve"> </v>
      </c>
      <c r="AZ98" s="32"/>
      <c r="BA98" s="32"/>
      <c r="BB98" s="53"/>
      <c r="BC98" s="21" t="str">
        <f>IFERROR(VLOOKUP(January[[#This Row],[Drug Name8]],'Data Options'!$R$1:$S$100,2,FALSE), " ")</f>
        <v xml:space="preserve"> </v>
      </c>
      <c r="BD98" s="32"/>
      <c r="BE98" s="32"/>
      <c r="BF98" s="53"/>
      <c r="BG98" s="21" t="str">
        <f>IFERROR(VLOOKUP(January[[#This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21" t="str">
        <f>IFERROR(VLOOKUP(January[[#This Row],[Drug Name]],'Data Options'!$R$1:$S$100,2,FALSE), " ")</f>
        <v xml:space="preserve"> </v>
      </c>
      <c r="R99" s="32"/>
      <c r="S99" s="32"/>
      <c r="T99" s="53"/>
      <c r="U99" s="21" t="str">
        <f>IFERROR(VLOOKUP(January[[#This Row],[Drug Name2]],'Data Options'!$R$1:$S$100,2,FALSE), " ")</f>
        <v xml:space="preserve"> </v>
      </c>
      <c r="V99" s="32"/>
      <c r="W99" s="32"/>
      <c r="X99" s="53"/>
      <c r="Y99" s="21" t="str">
        <f>IFERROR(VLOOKUP(January[[#This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21" t="str">
        <f>IFERROR(VLOOKUP(January[[#This Row],[Drug Name4]],'Data Options'!$R$1:$S$100,2,FALSE), " ")</f>
        <v xml:space="preserve"> </v>
      </c>
      <c r="AI99" s="32"/>
      <c r="AJ99" s="32"/>
      <c r="AK99" s="53"/>
      <c r="AL99" s="21" t="str">
        <f>IFERROR(VLOOKUP(January[[#This Row],[Drug Name5]],'Data Options'!$R$1:$S$100,2,FALSE), " ")</f>
        <v xml:space="preserve"> </v>
      </c>
      <c r="AM99" s="32"/>
      <c r="AN99" s="32"/>
      <c r="AO99" s="53"/>
      <c r="AP99" s="21" t="str">
        <f>IFERROR(VLOOKUP(January[[#This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21" t="str">
        <f>IFERROR(VLOOKUP(January[[#This Row],[Drug Name7]],'Data Options'!$R$1:$S$100,2,FALSE), " ")</f>
        <v xml:space="preserve"> </v>
      </c>
      <c r="AZ99" s="32"/>
      <c r="BA99" s="32"/>
      <c r="BB99" s="53"/>
      <c r="BC99" s="21" t="str">
        <f>IFERROR(VLOOKUP(January[[#This Row],[Drug Name8]],'Data Options'!$R$1:$S$100,2,FALSE), " ")</f>
        <v xml:space="preserve"> </v>
      </c>
      <c r="BD99" s="32"/>
      <c r="BE99" s="32"/>
      <c r="BF99" s="53"/>
      <c r="BG99" s="21" t="str">
        <f>IFERROR(VLOOKUP(January[[#This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21" t="str">
        <f>IFERROR(VLOOKUP(January[[#This Row],[Drug Name]],'Data Options'!$R$1:$S$100,2,FALSE), " ")</f>
        <v xml:space="preserve"> </v>
      </c>
      <c r="R100" s="32"/>
      <c r="S100" s="32"/>
      <c r="T100" s="53"/>
      <c r="U100" s="21" t="str">
        <f>IFERROR(VLOOKUP(January[[#This Row],[Drug Name2]],'Data Options'!$R$1:$S$100,2,FALSE), " ")</f>
        <v xml:space="preserve"> </v>
      </c>
      <c r="V100" s="32"/>
      <c r="W100" s="32"/>
      <c r="X100" s="53"/>
      <c r="Y100" s="21" t="str">
        <f>IFERROR(VLOOKUP(January[[#This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21" t="str">
        <f>IFERROR(VLOOKUP(January[[#This Row],[Drug Name4]],'Data Options'!$R$1:$S$100,2,FALSE), " ")</f>
        <v xml:space="preserve"> </v>
      </c>
      <c r="AI100" s="32"/>
      <c r="AJ100" s="32"/>
      <c r="AK100" s="53"/>
      <c r="AL100" s="21" t="str">
        <f>IFERROR(VLOOKUP(January[[#This Row],[Drug Name5]],'Data Options'!$R$1:$S$100,2,FALSE), " ")</f>
        <v xml:space="preserve"> </v>
      </c>
      <c r="AM100" s="32"/>
      <c r="AN100" s="32"/>
      <c r="AO100" s="53"/>
      <c r="AP100" s="21" t="str">
        <f>IFERROR(VLOOKUP(January[[#This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21" t="str">
        <f>IFERROR(VLOOKUP(January[[#This Row],[Drug Name7]],'Data Options'!$R$1:$S$100,2,FALSE), " ")</f>
        <v xml:space="preserve"> </v>
      </c>
      <c r="AZ100" s="32"/>
      <c r="BA100" s="32"/>
      <c r="BB100" s="53"/>
      <c r="BC100" s="21" t="str">
        <f>IFERROR(VLOOKUP(January[[#This Row],[Drug Name8]],'Data Options'!$R$1:$S$100,2,FALSE), " ")</f>
        <v xml:space="preserve"> </v>
      </c>
      <c r="BD100" s="32"/>
      <c r="BE100" s="32"/>
      <c r="BF100" s="53"/>
      <c r="BG100" s="21" t="str">
        <f>IFERROR(VLOOKUP(January[[#This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21" t="str">
        <f>IFERROR(VLOOKUP(January[[#This Row],[Drug Name]],'Data Options'!$R$1:$S$100,2,FALSE), " ")</f>
        <v xml:space="preserve"> </v>
      </c>
      <c r="R101" s="32"/>
      <c r="S101" s="32"/>
      <c r="T101" s="53"/>
      <c r="U101" s="21" t="str">
        <f>IFERROR(VLOOKUP(January[[#This Row],[Drug Name2]],'Data Options'!$R$1:$S$100,2,FALSE), " ")</f>
        <v xml:space="preserve"> </v>
      </c>
      <c r="V101" s="32"/>
      <c r="W101" s="32"/>
      <c r="X101" s="53"/>
      <c r="Y101" s="21" t="str">
        <f>IFERROR(VLOOKUP(January[[#This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21" t="str">
        <f>IFERROR(VLOOKUP(January[[#This Row],[Drug Name4]],'Data Options'!$R$1:$S$100,2,FALSE), " ")</f>
        <v xml:space="preserve"> </v>
      </c>
      <c r="AI101" s="32"/>
      <c r="AJ101" s="32"/>
      <c r="AK101" s="53"/>
      <c r="AL101" s="21" t="str">
        <f>IFERROR(VLOOKUP(January[[#This Row],[Drug Name5]],'Data Options'!$R$1:$S$100,2,FALSE), " ")</f>
        <v xml:space="preserve"> </v>
      </c>
      <c r="AM101" s="32"/>
      <c r="AN101" s="32"/>
      <c r="AO101" s="53"/>
      <c r="AP101" s="21" t="str">
        <f>IFERROR(VLOOKUP(January[[#This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21" t="str">
        <f>IFERROR(VLOOKUP(January[[#This Row],[Drug Name7]],'Data Options'!$R$1:$S$100,2,FALSE), " ")</f>
        <v xml:space="preserve"> </v>
      </c>
      <c r="AZ101" s="32"/>
      <c r="BA101" s="32"/>
      <c r="BB101" s="53"/>
      <c r="BC101" s="21" t="str">
        <f>IFERROR(VLOOKUP(January[[#This Row],[Drug Name8]],'Data Options'!$R$1:$S$100,2,FALSE), " ")</f>
        <v xml:space="preserve"> </v>
      </c>
      <c r="BD101" s="32"/>
      <c r="BE101" s="32"/>
      <c r="BF101" s="53"/>
      <c r="BG101" s="21" t="str">
        <f>IFERROR(VLOOKUP(January[[#This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21" t="str">
        <f>IFERROR(VLOOKUP(January[[#This Row],[Drug Name]],'Data Options'!$R$1:$S$100,2,FALSE), " ")</f>
        <v xml:space="preserve"> </v>
      </c>
      <c r="R102" s="32"/>
      <c r="S102" s="32"/>
      <c r="T102" s="53"/>
      <c r="U102" s="21" t="str">
        <f>IFERROR(VLOOKUP(January[[#This Row],[Drug Name2]],'Data Options'!$R$1:$S$100,2,FALSE), " ")</f>
        <v xml:space="preserve"> </v>
      </c>
      <c r="V102" s="32"/>
      <c r="W102" s="32"/>
      <c r="X102" s="53"/>
      <c r="Y102" s="21" t="str">
        <f>IFERROR(VLOOKUP(January[[#This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21" t="str">
        <f>IFERROR(VLOOKUP(January[[#This Row],[Drug Name4]],'Data Options'!$R$1:$S$100,2,FALSE), " ")</f>
        <v xml:space="preserve"> </v>
      </c>
      <c r="AI102" s="32"/>
      <c r="AJ102" s="32"/>
      <c r="AK102" s="53"/>
      <c r="AL102" s="21" t="str">
        <f>IFERROR(VLOOKUP(January[[#This Row],[Drug Name5]],'Data Options'!$R$1:$S$100,2,FALSE), " ")</f>
        <v xml:space="preserve"> </v>
      </c>
      <c r="AM102" s="32"/>
      <c r="AN102" s="32"/>
      <c r="AO102" s="53"/>
      <c r="AP102" s="21" t="str">
        <f>IFERROR(VLOOKUP(January[[#This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21" t="str">
        <f>IFERROR(VLOOKUP(January[[#This Row],[Drug Name7]],'Data Options'!$R$1:$S$100,2,FALSE), " ")</f>
        <v xml:space="preserve"> </v>
      </c>
      <c r="AZ102" s="32"/>
      <c r="BA102" s="32"/>
      <c r="BB102" s="53"/>
      <c r="BC102" s="21" t="str">
        <f>IFERROR(VLOOKUP(January[[#This Row],[Drug Name8]],'Data Options'!$R$1:$S$100,2,FALSE), " ")</f>
        <v xml:space="preserve"> </v>
      </c>
      <c r="BD102" s="32"/>
      <c r="BE102" s="32"/>
      <c r="BF102" s="53"/>
      <c r="BG102" s="21" t="str">
        <f>IFERROR(VLOOKUP(January[[#This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21" t="str">
        <f>IFERROR(VLOOKUP(January[[#This Row],[Drug Name]],'Data Options'!$R$1:$S$100,2,FALSE), " ")</f>
        <v xml:space="preserve"> </v>
      </c>
      <c r="R103" s="32"/>
      <c r="S103" s="32"/>
      <c r="T103" s="53"/>
      <c r="U103" s="21" t="str">
        <f>IFERROR(VLOOKUP(January[[#This Row],[Drug Name2]],'Data Options'!$R$1:$S$100,2,FALSE), " ")</f>
        <v xml:space="preserve"> </v>
      </c>
      <c r="V103" s="32"/>
      <c r="W103" s="32"/>
      <c r="X103" s="53"/>
      <c r="Y103" s="21" t="str">
        <f>IFERROR(VLOOKUP(January[[#This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21" t="str">
        <f>IFERROR(VLOOKUP(January[[#This Row],[Drug Name4]],'Data Options'!$R$1:$S$100,2,FALSE), " ")</f>
        <v xml:space="preserve"> </v>
      </c>
      <c r="AI103" s="32"/>
      <c r="AJ103" s="32"/>
      <c r="AK103" s="53"/>
      <c r="AL103" s="21" t="str">
        <f>IFERROR(VLOOKUP(January[[#This Row],[Drug Name5]],'Data Options'!$R$1:$S$100,2,FALSE), " ")</f>
        <v xml:space="preserve"> </v>
      </c>
      <c r="AM103" s="32"/>
      <c r="AN103" s="32"/>
      <c r="AO103" s="53"/>
      <c r="AP103" s="21" t="str">
        <f>IFERROR(VLOOKUP(January[[#This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21" t="str">
        <f>IFERROR(VLOOKUP(January[[#This Row],[Drug Name7]],'Data Options'!$R$1:$S$100,2,FALSE), " ")</f>
        <v xml:space="preserve"> </v>
      </c>
      <c r="AZ103" s="32"/>
      <c r="BA103" s="32"/>
      <c r="BB103" s="53"/>
      <c r="BC103" s="21" t="str">
        <f>IFERROR(VLOOKUP(January[[#This Row],[Drug Name8]],'Data Options'!$R$1:$S$100,2,FALSE), " ")</f>
        <v xml:space="preserve"> </v>
      </c>
      <c r="BD103" s="32"/>
      <c r="BE103" s="32"/>
      <c r="BF103" s="53"/>
      <c r="BG103" s="21" t="str">
        <f>IFERROR(VLOOKUP(January[[#This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21" t="str">
        <f>IFERROR(VLOOKUP(January[[#This Row],[Drug Name]],'Data Options'!$R$1:$S$100,2,FALSE), " ")</f>
        <v xml:space="preserve"> </v>
      </c>
      <c r="R104" s="32"/>
      <c r="S104" s="32"/>
      <c r="T104" s="53"/>
      <c r="U104" s="21" t="str">
        <f>IFERROR(VLOOKUP(January[[#This Row],[Drug Name2]],'Data Options'!$R$1:$S$100,2,FALSE), " ")</f>
        <v xml:space="preserve"> </v>
      </c>
      <c r="V104" s="32"/>
      <c r="W104" s="32"/>
      <c r="X104" s="53"/>
      <c r="Y104" s="21" t="str">
        <f>IFERROR(VLOOKUP(January[[#This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21" t="str">
        <f>IFERROR(VLOOKUP(January[[#This Row],[Drug Name4]],'Data Options'!$R$1:$S$100,2,FALSE), " ")</f>
        <v xml:space="preserve"> </v>
      </c>
      <c r="AI104" s="32"/>
      <c r="AJ104" s="32"/>
      <c r="AK104" s="53"/>
      <c r="AL104" s="21" t="str">
        <f>IFERROR(VLOOKUP(January[[#This Row],[Drug Name5]],'Data Options'!$R$1:$S$100,2,FALSE), " ")</f>
        <v xml:space="preserve"> </v>
      </c>
      <c r="AM104" s="32"/>
      <c r="AN104" s="32"/>
      <c r="AO104" s="53"/>
      <c r="AP104" s="21" t="str">
        <f>IFERROR(VLOOKUP(January[[#This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21" t="str">
        <f>IFERROR(VLOOKUP(January[[#This Row],[Drug Name7]],'Data Options'!$R$1:$S$100,2,FALSE), " ")</f>
        <v xml:space="preserve"> </v>
      </c>
      <c r="AZ104" s="32"/>
      <c r="BA104" s="32"/>
      <c r="BB104" s="53"/>
      <c r="BC104" s="21" t="str">
        <f>IFERROR(VLOOKUP(January[[#This Row],[Drug Name8]],'Data Options'!$R$1:$S$100,2,FALSE), " ")</f>
        <v xml:space="preserve"> </v>
      </c>
      <c r="BD104" s="32"/>
      <c r="BE104" s="32"/>
      <c r="BF104" s="53"/>
      <c r="BG104" s="21" t="str">
        <f>IFERROR(VLOOKUP(January[[#This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21" t="str">
        <f>IFERROR(VLOOKUP(January[[#This Row],[Drug Name]],'Data Options'!$R$1:$S$100,2,FALSE), " ")</f>
        <v xml:space="preserve"> </v>
      </c>
      <c r="R105" s="32"/>
      <c r="S105" s="32"/>
      <c r="T105" s="53"/>
      <c r="U105" s="21" t="str">
        <f>IFERROR(VLOOKUP(January[[#This Row],[Drug Name2]],'Data Options'!$R$1:$S$100,2,FALSE), " ")</f>
        <v xml:space="preserve"> </v>
      </c>
      <c r="V105" s="32"/>
      <c r="W105" s="32"/>
      <c r="X105" s="53"/>
      <c r="Y105" s="21" t="str">
        <f>IFERROR(VLOOKUP(January[[#This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21" t="str">
        <f>IFERROR(VLOOKUP(January[[#This Row],[Drug Name4]],'Data Options'!$R$1:$S$100,2,FALSE), " ")</f>
        <v xml:space="preserve"> </v>
      </c>
      <c r="AI105" s="32"/>
      <c r="AJ105" s="32"/>
      <c r="AK105" s="53"/>
      <c r="AL105" s="21" t="str">
        <f>IFERROR(VLOOKUP(January[[#This Row],[Drug Name5]],'Data Options'!$R$1:$S$100,2,FALSE), " ")</f>
        <v xml:space="preserve"> </v>
      </c>
      <c r="AM105" s="32"/>
      <c r="AN105" s="32"/>
      <c r="AO105" s="53"/>
      <c r="AP105" s="21" t="str">
        <f>IFERROR(VLOOKUP(January[[#This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21" t="str">
        <f>IFERROR(VLOOKUP(January[[#This Row],[Drug Name7]],'Data Options'!$R$1:$S$100,2,FALSE), " ")</f>
        <v xml:space="preserve"> </v>
      </c>
      <c r="AZ105" s="32"/>
      <c r="BA105" s="32"/>
      <c r="BB105" s="53"/>
      <c r="BC105" s="21" t="str">
        <f>IFERROR(VLOOKUP(January[[#This Row],[Drug Name8]],'Data Options'!$R$1:$S$100,2,FALSE), " ")</f>
        <v xml:space="preserve"> </v>
      </c>
      <c r="BD105" s="32"/>
      <c r="BE105" s="32"/>
      <c r="BF105" s="53"/>
      <c r="BG105" s="21" t="str">
        <f>IFERROR(VLOOKUP(January[[#This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21" t="str">
        <f>IFERROR(VLOOKUP(January[[#This Row],[Drug Name]],'Data Options'!$R$1:$S$100,2,FALSE), " ")</f>
        <v xml:space="preserve"> </v>
      </c>
      <c r="R106" s="32"/>
      <c r="S106" s="32"/>
      <c r="T106" s="53"/>
      <c r="U106" s="21" t="str">
        <f>IFERROR(VLOOKUP(January[[#This Row],[Drug Name2]],'Data Options'!$R$1:$S$100,2,FALSE), " ")</f>
        <v xml:space="preserve"> </v>
      </c>
      <c r="V106" s="32"/>
      <c r="W106" s="32"/>
      <c r="X106" s="53"/>
      <c r="Y106" s="21" t="str">
        <f>IFERROR(VLOOKUP(January[[#This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21" t="str">
        <f>IFERROR(VLOOKUP(January[[#This Row],[Drug Name4]],'Data Options'!$R$1:$S$100,2,FALSE), " ")</f>
        <v xml:space="preserve"> </v>
      </c>
      <c r="AI106" s="32"/>
      <c r="AJ106" s="32"/>
      <c r="AK106" s="53"/>
      <c r="AL106" s="21" t="str">
        <f>IFERROR(VLOOKUP(January[[#This Row],[Drug Name5]],'Data Options'!$R$1:$S$100,2,FALSE), " ")</f>
        <v xml:space="preserve"> </v>
      </c>
      <c r="AM106" s="32"/>
      <c r="AN106" s="32"/>
      <c r="AO106" s="53"/>
      <c r="AP106" s="21" t="str">
        <f>IFERROR(VLOOKUP(January[[#This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21" t="str">
        <f>IFERROR(VLOOKUP(January[[#This Row],[Drug Name7]],'Data Options'!$R$1:$S$100,2,FALSE), " ")</f>
        <v xml:space="preserve"> </v>
      </c>
      <c r="AZ106" s="32"/>
      <c r="BA106" s="32"/>
      <c r="BB106" s="53"/>
      <c r="BC106" s="21" t="str">
        <f>IFERROR(VLOOKUP(January[[#This Row],[Drug Name8]],'Data Options'!$R$1:$S$100,2,FALSE), " ")</f>
        <v xml:space="preserve"> </v>
      </c>
      <c r="BD106" s="32"/>
      <c r="BE106" s="32"/>
      <c r="BF106" s="53"/>
      <c r="BG106" s="21" t="str">
        <f>IFERROR(VLOOKUP(January[[#This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21" t="str">
        <f>IFERROR(VLOOKUP(January[[#This Row],[Drug Name]],'Data Options'!$R$1:$S$100,2,FALSE), " ")</f>
        <v xml:space="preserve"> </v>
      </c>
      <c r="R107" s="32"/>
      <c r="S107" s="32"/>
      <c r="T107" s="53"/>
      <c r="U107" s="21" t="str">
        <f>IFERROR(VLOOKUP(January[[#This Row],[Drug Name2]],'Data Options'!$R$1:$S$100,2,FALSE), " ")</f>
        <v xml:space="preserve"> </v>
      </c>
      <c r="V107" s="32"/>
      <c r="W107" s="32"/>
      <c r="X107" s="53"/>
      <c r="Y107" s="21" t="str">
        <f>IFERROR(VLOOKUP(January[[#This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21" t="str">
        <f>IFERROR(VLOOKUP(January[[#This Row],[Drug Name4]],'Data Options'!$R$1:$S$100,2,FALSE), " ")</f>
        <v xml:space="preserve"> </v>
      </c>
      <c r="AI107" s="32"/>
      <c r="AJ107" s="32"/>
      <c r="AK107" s="53"/>
      <c r="AL107" s="21" t="str">
        <f>IFERROR(VLOOKUP(January[[#This Row],[Drug Name5]],'Data Options'!$R$1:$S$100,2,FALSE), " ")</f>
        <v xml:space="preserve"> </v>
      </c>
      <c r="AM107" s="32"/>
      <c r="AN107" s="32"/>
      <c r="AO107" s="53"/>
      <c r="AP107" s="21" t="str">
        <f>IFERROR(VLOOKUP(January[[#This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21" t="str">
        <f>IFERROR(VLOOKUP(January[[#This Row],[Drug Name7]],'Data Options'!$R$1:$S$100,2,FALSE), " ")</f>
        <v xml:space="preserve"> </v>
      </c>
      <c r="AZ107" s="32"/>
      <c r="BA107" s="32"/>
      <c r="BB107" s="53"/>
      <c r="BC107" s="21" t="str">
        <f>IFERROR(VLOOKUP(January[[#This Row],[Drug Name8]],'Data Options'!$R$1:$S$100,2,FALSE), " ")</f>
        <v xml:space="preserve"> </v>
      </c>
      <c r="BD107" s="32"/>
      <c r="BE107" s="32"/>
      <c r="BF107" s="53"/>
      <c r="BG107" s="21" t="str">
        <f>IFERROR(VLOOKUP(January[[#This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21" t="str">
        <f>IFERROR(VLOOKUP(January[[#This Row],[Drug Name]],'Data Options'!$R$1:$S$100,2,FALSE), " ")</f>
        <v xml:space="preserve"> </v>
      </c>
      <c r="R108" s="32"/>
      <c r="S108" s="32"/>
      <c r="T108" s="53"/>
      <c r="U108" s="21" t="str">
        <f>IFERROR(VLOOKUP(January[[#This Row],[Drug Name2]],'Data Options'!$R$1:$S$100,2,FALSE), " ")</f>
        <v xml:space="preserve"> </v>
      </c>
      <c r="V108" s="32"/>
      <c r="W108" s="32"/>
      <c r="X108" s="53"/>
      <c r="Y108" s="21" t="str">
        <f>IFERROR(VLOOKUP(January[[#This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21" t="str">
        <f>IFERROR(VLOOKUP(January[[#This Row],[Drug Name4]],'Data Options'!$R$1:$S$100,2,FALSE), " ")</f>
        <v xml:space="preserve"> </v>
      </c>
      <c r="AI108" s="32"/>
      <c r="AJ108" s="32"/>
      <c r="AK108" s="53"/>
      <c r="AL108" s="21" t="str">
        <f>IFERROR(VLOOKUP(January[[#This Row],[Drug Name5]],'Data Options'!$R$1:$S$100,2,FALSE), " ")</f>
        <v xml:space="preserve"> </v>
      </c>
      <c r="AM108" s="32"/>
      <c r="AN108" s="32"/>
      <c r="AO108" s="53"/>
      <c r="AP108" s="21" t="str">
        <f>IFERROR(VLOOKUP(January[[#This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21" t="str">
        <f>IFERROR(VLOOKUP(January[[#This Row],[Drug Name7]],'Data Options'!$R$1:$S$100,2,FALSE), " ")</f>
        <v xml:space="preserve"> </v>
      </c>
      <c r="AZ108" s="32"/>
      <c r="BA108" s="32"/>
      <c r="BB108" s="53"/>
      <c r="BC108" s="21" t="str">
        <f>IFERROR(VLOOKUP(January[[#This Row],[Drug Name8]],'Data Options'!$R$1:$S$100,2,FALSE), " ")</f>
        <v xml:space="preserve"> </v>
      </c>
      <c r="BD108" s="32"/>
      <c r="BE108" s="32"/>
      <c r="BF108" s="53"/>
      <c r="BG108" s="21" t="str">
        <f>IFERROR(VLOOKUP(January[[#This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21" t="str">
        <f>IFERROR(VLOOKUP(January[[#This Row],[Drug Name]],'Data Options'!$R$1:$S$100,2,FALSE), " ")</f>
        <v xml:space="preserve"> </v>
      </c>
      <c r="R109" s="32"/>
      <c r="S109" s="32"/>
      <c r="T109" s="53"/>
      <c r="U109" s="21" t="str">
        <f>IFERROR(VLOOKUP(January[[#This Row],[Drug Name2]],'Data Options'!$R$1:$S$100,2,FALSE), " ")</f>
        <v xml:space="preserve"> </v>
      </c>
      <c r="V109" s="32"/>
      <c r="W109" s="32"/>
      <c r="X109" s="53"/>
      <c r="Y109" s="21" t="str">
        <f>IFERROR(VLOOKUP(January[[#This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21" t="str">
        <f>IFERROR(VLOOKUP(January[[#This Row],[Drug Name4]],'Data Options'!$R$1:$S$100,2,FALSE), " ")</f>
        <v xml:space="preserve"> </v>
      </c>
      <c r="AI109" s="32"/>
      <c r="AJ109" s="32"/>
      <c r="AK109" s="53"/>
      <c r="AL109" s="21" t="str">
        <f>IFERROR(VLOOKUP(January[[#This Row],[Drug Name5]],'Data Options'!$R$1:$S$100,2,FALSE), " ")</f>
        <v xml:space="preserve"> </v>
      </c>
      <c r="AM109" s="32"/>
      <c r="AN109" s="32"/>
      <c r="AO109" s="53"/>
      <c r="AP109" s="21" t="str">
        <f>IFERROR(VLOOKUP(January[[#This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21" t="str">
        <f>IFERROR(VLOOKUP(January[[#This Row],[Drug Name7]],'Data Options'!$R$1:$S$100,2,FALSE), " ")</f>
        <v xml:space="preserve"> </v>
      </c>
      <c r="AZ109" s="32"/>
      <c r="BA109" s="32"/>
      <c r="BB109" s="53"/>
      <c r="BC109" s="21" t="str">
        <f>IFERROR(VLOOKUP(January[[#This Row],[Drug Name8]],'Data Options'!$R$1:$S$100,2,FALSE), " ")</f>
        <v xml:space="preserve"> </v>
      </c>
      <c r="BD109" s="32"/>
      <c r="BE109" s="32"/>
      <c r="BF109" s="53"/>
      <c r="BG109" s="21" t="str">
        <f>IFERROR(VLOOKUP(January[[#This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21" t="str">
        <f>IFERROR(VLOOKUP(January[[#This Row],[Drug Name]],'Data Options'!$R$1:$S$100,2,FALSE), " ")</f>
        <v xml:space="preserve"> </v>
      </c>
      <c r="R110" s="32"/>
      <c r="S110" s="32"/>
      <c r="T110" s="53"/>
      <c r="U110" s="21" t="str">
        <f>IFERROR(VLOOKUP(January[[#This Row],[Drug Name2]],'Data Options'!$R$1:$S$100,2,FALSE), " ")</f>
        <v xml:space="preserve"> </v>
      </c>
      <c r="V110" s="32"/>
      <c r="W110" s="32"/>
      <c r="X110" s="53"/>
      <c r="Y110" s="21" t="str">
        <f>IFERROR(VLOOKUP(January[[#This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21" t="str">
        <f>IFERROR(VLOOKUP(January[[#This Row],[Drug Name4]],'Data Options'!$R$1:$S$100,2,FALSE), " ")</f>
        <v xml:space="preserve"> </v>
      </c>
      <c r="AI110" s="32"/>
      <c r="AJ110" s="32"/>
      <c r="AK110" s="53"/>
      <c r="AL110" s="21" t="str">
        <f>IFERROR(VLOOKUP(January[[#This Row],[Drug Name5]],'Data Options'!$R$1:$S$100,2,FALSE), " ")</f>
        <v xml:space="preserve"> </v>
      </c>
      <c r="AM110" s="32"/>
      <c r="AN110" s="32"/>
      <c r="AO110" s="53"/>
      <c r="AP110" s="21" t="str">
        <f>IFERROR(VLOOKUP(January[[#This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21" t="str">
        <f>IFERROR(VLOOKUP(January[[#This Row],[Drug Name7]],'Data Options'!$R$1:$S$100,2,FALSE), " ")</f>
        <v xml:space="preserve"> </v>
      </c>
      <c r="AZ110" s="32"/>
      <c r="BA110" s="32"/>
      <c r="BB110" s="53"/>
      <c r="BC110" s="21" t="str">
        <f>IFERROR(VLOOKUP(January[[#This Row],[Drug Name8]],'Data Options'!$R$1:$S$100,2,FALSE), " ")</f>
        <v xml:space="preserve"> </v>
      </c>
      <c r="BD110" s="32"/>
      <c r="BE110" s="32"/>
      <c r="BF110" s="53"/>
      <c r="BG110" s="21" t="str">
        <f>IFERROR(VLOOKUP(January[[#This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21" t="str">
        <f>IFERROR(VLOOKUP(January[[#This Row],[Drug Name]],'Data Options'!$R$1:$S$100,2,FALSE), " ")</f>
        <v xml:space="preserve"> </v>
      </c>
      <c r="R111" s="32"/>
      <c r="S111" s="32"/>
      <c r="T111" s="53"/>
      <c r="U111" s="21" t="str">
        <f>IFERROR(VLOOKUP(January[[#This Row],[Drug Name2]],'Data Options'!$R$1:$S$100,2,FALSE), " ")</f>
        <v xml:space="preserve"> </v>
      </c>
      <c r="V111" s="32"/>
      <c r="W111" s="32"/>
      <c r="X111" s="53"/>
      <c r="Y111" s="21" t="str">
        <f>IFERROR(VLOOKUP(January[[#This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21" t="str">
        <f>IFERROR(VLOOKUP(January[[#This Row],[Drug Name4]],'Data Options'!$R$1:$S$100,2,FALSE), " ")</f>
        <v xml:space="preserve"> </v>
      </c>
      <c r="AI111" s="32"/>
      <c r="AJ111" s="32"/>
      <c r="AK111" s="53"/>
      <c r="AL111" s="21" t="str">
        <f>IFERROR(VLOOKUP(January[[#This Row],[Drug Name5]],'Data Options'!$R$1:$S$100,2,FALSE), " ")</f>
        <v xml:space="preserve"> </v>
      </c>
      <c r="AM111" s="32"/>
      <c r="AN111" s="32"/>
      <c r="AO111" s="53"/>
      <c r="AP111" s="21" t="str">
        <f>IFERROR(VLOOKUP(January[[#This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21" t="str">
        <f>IFERROR(VLOOKUP(January[[#This Row],[Drug Name7]],'Data Options'!$R$1:$S$100,2,FALSE), " ")</f>
        <v xml:space="preserve"> </v>
      </c>
      <c r="AZ111" s="32"/>
      <c r="BA111" s="32"/>
      <c r="BB111" s="53"/>
      <c r="BC111" s="21" t="str">
        <f>IFERROR(VLOOKUP(January[[#This Row],[Drug Name8]],'Data Options'!$R$1:$S$100,2,FALSE), " ")</f>
        <v xml:space="preserve"> </v>
      </c>
      <c r="BD111" s="32"/>
      <c r="BE111" s="32"/>
      <c r="BF111" s="53"/>
      <c r="BG111" s="21" t="str">
        <f>IFERROR(VLOOKUP(January[[#This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21" t="str">
        <f>IFERROR(VLOOKUP(January[[#This Row],[Drug Name]],'Data Options'!$R$1:$S$100,2,FALSE), " ")</f>
        <v xml:space="preserve"> </v>
      </c>
      <c r="R112" s="32"/>
      <c r="S112" s="32"/>
      <c r="T112" s="53"/>
      <c r="U112" s="21" t="str">
        <f>IFERROR(VLOOKUP(January[[#This Row],[Drug Name2]],'Data Options'!$R$1:$S$100,2,FALSE), " ")</f>
        <v xml:space="preserve"> </v>
      </c>
      <c r="V112" s="32"/>
      <c r="W112" s="32"/>
      <c r="X112" s="53"/>
      <c r="Y112" s="21" t="str">
        <f>IFERROR(VLOOKUP(January[[#This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21" t="str">
        <f>IFERROR(VLOOKUP(January[[#This Row],[Drug Name4]],'Data Options'!$R$1:$S$100,2,FALSE), " ")</f>
        <v xml:space="preserve"> </v>
      </c>
      <c r="AI112" s="32"/>
      <c r="AJ112" s="32"/>
      <c r="AK112" s="53"/>
      <c r="AL112" s="21" t="str">
        <f>IFERROR(VLOOKUP(January[[#This Row],[Drug Name5]],'Data Options'!$R$1:$S$100,2,FALSE), " ")</f>
        <v xml:space="preserve"> </v>
      </c>
      <c r="AM112" s="32"/>
      <c r="AN112" s="32"/>
      <c r="AO112" s="53"/>
      <c r="AP112" s="21" t="str">
        <f>IFERROR(VLOOKUP(January[[#This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21" t="str">
        <f>IFERROR(VLOOKUP(January[[#This Row],[Drug Name7]],'Data Options'!$R$1:$S$100,2,FALSE), " ")</f>
        <v xml:space="preserve"> </v>
      </c>
      <c r="AZ112" s="32"/>
      <c r="BA112" s="32"/>
      <c r="BB112" s="53"/>
      <c r="BC112" s="21" t="str">
        <f>IFERROR(VLOOKUP(January[[#This Row],[Drug Name8]],'Data Options'!$R$1:$S$100,2,FALSE), " ")</f>
        <v xml:space="preserve"> </v>
      </c>
      <c r="BD112" s="32"/>
      <c r="BE112" s="32"/>
      <c r="BF112" s="53"/>
      <c r="BG112" s="21" t="str">
        <f>IFERROR(VLOOKUP(January[[#This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21" t="str">
        <f>IFERROR(VLOOKUP(January[[#This Row],[Drug Name]],'Data Options'!$R$1:$S$100,2,FALSE), " ")</f>
        <v xml:space="preserve"> </v>
      </c>
      <c r="R113" s="32"/>
      <c r="S113" s="32"/>
      <c r="T113" s="53"/>
      <c r="U113" s="21" t="str">
        <f>IFERROR(VLOOKUP(January[[#This Row],[Drug Name2]],'Data Options'!$R$1:$S$100,2,FALSE), " ")</f>
        <v xml:space="preserve"> </v>
      </c>
      <c r="V113" s="32"/>
      <c r="W113" s="32"/>
      <c r="X113" s="53"/>
      <c r="Y113" s="21" t="str">
        <f>IFERROR(VLOOKUP(January[[#This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21" t="str">
        <f>IFERROR(VLOOKUP(January[[#This Row],[Drug Name4]],'Data Options'!$R$1:$S$100,2,FALSE), " ")</f>
        <v xml:space="preserve"> </v>
      </c>
      <c r="AI113" s="32"/>
      <c r="AJ113" s="32"/>
      <c r="AK113" s="53"/>
      <c r="AL113" s="21" t="str">
        <f>IFERROR(VLOOKUP(January[[#This Row],[Drug Name5]],'Data Options'!$R$1:$S$100,2,FALSE), " ")</f>
        <v xml:space="preserve"> </v>
      </c>
      <c r="AM113" s="32"/>
      <c r="AN113" s="32"/>
      <c r="AO113" s="53"/>
      <c r="AP113" s="21" t="str">
        <f>IFERROR(VLOOKUP(January[[#This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21" t="str">
        <f>IFERROR(VLOOKUP(January[[#This Row],[Drug Name7]],'Data Options'!$R$1:$S$100,2,FALSE), " ")</f>
        <v xml:space="preserve"> </v>
      </c>
      <c r="AZ113" s="32"/>
      <c r="BA113" s="32"/>
      <c r="BB113" s="53"/>
      <c r="BC113" s="21" t="str">
        <f>IFERROR(VLOOKUP(January[[#This Row],[Drug Name8]],'Data Options'!$R$1:$S$100,2,FALSE), " ")</f>
        <v xml:space="preserve"> </v>
      </c>
      <c r="BD113" s="32"/>
      <c r="BE113" s="32"/>
      <c r="BF113" s="53"/>
      <c r="BG113" s="21" t="str">
        <f>IFERROR(VLOOKUP(January[[#This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21" t="str">
        <f>IFERROR(VLOOKUP(January[[#This Row],[Drug Name]],'Data Options'!$R$1:$S$100,2,FALSE), " ")</f>
        <v xml:space="preserve"> </v>
      </c>
      <c r="R114" s="32"/>
      <c r="S114" s="32"/>
      <c r="T114" s="53"/>
      <c r="U114" s="21" t="str">
        <f>IFERROR(VLOOKUP(January[[#This Row],[Drug Name2]],'Data Options'!$R$1:$S$100,2,FALSE), " ")</f>
        <v xml:space="preserve"> </v>
      </c>
      <c r="V114" s="32"/>
      <c r="W114" s="32"/>
      <c r="X114" s="53"/>
      <c r="Y114" s="21" t="str">
        <f>IFERROR(VLOOKUP(January[[#This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21" t="str">
        <f>IFERROR(VLOOKUP(January[[#This Row],[Drug Name4]],'Data Options'!$R$1:$S$100,2,FALSE), " ")</f>
        <v xml:space="preserve"> </v>
      </c>
      <c r="AI114" s="32"/>
      <c r="AJ114" s="32"/>
      <c r="AK114" s="53"/>
      <c r="AL114" s="21" t="str">
        <f>IFERROR(VLOOKUP(January[[#This Row],[Drug Name5]],'Data Options'!$R$1:$S$100,2,FALSE), " ")</f>
        <v xml:space="preserve"> </v>
      </c>
      <c r="AM114" s="32"/>
      <c r="AN114" s="32"/>
      <c r="AO114" s="53"/>
      <c r="AP114" s="21" t="str">
        <f>IFERROR(VLOOKUP(January[[#This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21" t="str">
        <f>IFERROR(VLOOKUP(January[[#This Row],[Drug Name7]],'Data Options'!$R$1:$S$100,2,FALSE), " ")</f>
        <v xml:space="preserve"> </v>
      </c>
      <c r="AZ114" s="32"/>
      <c r="BA114" s="32"/>
      <c r="BB114" s="53"/>
      <c r="BC114" s="21" t="str">
        <f>IFERROR(VLOOKUP(January[[#This Row],[Drug Name8]],'Data Options'!$R$1:$S$100,2,FALSE), " ")</f>
        <v xml:space="preserve"> </v>
      </c>
      <c r="BD114" s="32"/>
      <c r="BE114" s="32"/>
      <c r="BF114" s="53"/>
      <c r="BG114" s="21" t="str">
        <f>IFERROR(VLOOKUP(January[[#This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21" t="str">
        <f>IFERROR(VLOOKUP(January[[#This Row],[Drug Name]],'Data Options'!$R$1:$S$100,2,FALSE), " ")</f>
        <v xml:space="preserve"> </v>
      </c>
      <c r="R115" s="32"/>
      <c r="S115" s="32"/>
      <c r="T115" s="53"/>
      <c r="U115" s="21" t="str">
        <f>IFERROR(VLOOKUP(January[[#This Row],[Drug Name2]],'Data Options'!$R$1:$S$100,2,FALSE), " ")</f>
        <v xml:space="preserve"> </v>
      </c>
      <c r="V115" s="32"/>
      <c r="W115" s="32"/>
      <c r="X115" s="53"/>
      <c r="Y115" s="21" t="str">
        <f>IFERROR(VLOOKUP(January[[#This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21" t="str">
        <f>IFERROR(VLOOKUP(January[[#This Row],[Drug Name4]],'Data Options'!$R$1:$S$100,2,FALSE), " ")</f>
        <v xml:space="preserve"> </v>
      </c>
      <c r="AI115" s="32"/>
      <c r="AJ115" s="32"/>
      <c r="AK115" s="53"/>
      <c r="AL115" s="21" t="str">
        <f>IFERROR(VLOOKUP(January[[#This Row],[Drug Name5]],'Data Options'!$R$1:$S$100,2,FALSE), " ")</f>
        <v xml:space="preserve"> </v>
      </c>
      <c r="AM115" s="32"/>
      <c r="AN115" s="32"/>
      <c r="AO115" s="53"/>
      <c r="AP115" s="21" t="str">
        <f>IFERROR(VLOOKUP(January[[#This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21" t="str">
        <f>IFERROR(VLOOKUP(January[[#This Row],[Drug Name7]],'Data Options'!$R$1:$S$100,2,FALSE), " ")</f>
        <v xml:space="preserve"> </v>
      </c>
      <c r="AZ115" s="32"/>
      <c r="BA115" s="32"/>
      <c r="BB115" s="53"/>
      <c r="BC115" s="21" t="str">
        <f>IFERROR(VLOOKUP(January[[#This Row],[Drug Name8]],'Data Options'!$R$1:$S$100,2,FALSE), " ")</f>
        <v xml:space="preserve"> </v>
      </c>
      <c r="BD115" s="32"/>
      <c r="BE115" s="32"/>
      <c r="BF115" s="53"/>
      <c r="BG115" s="21" t="str">
        <f>IFERROR(VLOOKUP(January[[#This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21" t="str">
        <f>IFERROR(VLOOKUP(January[[#This Row],[Drug Name]],'Data Options'!$R$1:$S$100,2,FALSE), " ")</f>
        <v xml:space="preserve"> </v>
      </c>
      <c r="R116" s="32"/>
      <c r="S116" s="32"/>
      <c r="T116" s="53"/>
      <c r="U116" s="21" t="str">
        <f>IFERROR(VLOOKUP(January[[#This Row],[Drug Name2]],'Data Options'!$R$1:$S$100,2,FALSE), " ")</f>
        <v xml:space="preserve"> </v>
      </c>
      <c r="V116" s="32"/>
      <c r="W116" s="32"/>
      <c r="X116" s="53"/>
      <c r="Y116" s="21" t="str">
        <f>IFERROR(VLOOKUP(January[[#This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21" t="str">
        <f>IFERROR(VLOOKUP(January[[#This Row],[Drug Name4]],'Data Options'!$R$1:$S$100,2,FALSE), " ")</f>
        <v xml:space="preserve"> </v>
      </c>
      <c r="AI116" s="32"/>
      <c r="AJ116" s="32"/>
      <c r="AK116" s="53"/>
      <c r="AL116" s="21" t="str">
        <f>IFERROR(VLOOKUP(January[[#This Row],[Drug Name5]],'Data Options'!$R$1:$S$100,2,FALSE), " ")</f>
        <v xml:space="preserve"> </v>
      </c>
      <c r="AM116" s="32"/>
      <c r="AN116" s="32"/>
      <c r="AO116" s="53"/>
      <c r="AP116" s="21" t="str">
        <f>IFERROR(VLOOKUP(January[[#This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21" t="str">
        <f>IFERROR(VLOOKUP(January[[#This Row],[Drug Name7]],'Data Options'!$R$1:$S$100,2,FALSE), " ")</f>
        <v xml:space="preserve"> </v>
      </c>
      <c r="AZ116" s="32"/>
      <c r="BA116" s="32"/>
      <c r="BB116" s="53"/>
      <c r="BC116" s="21" t="str">
        <f>IFERROR(VLOOKUP(January[[#This Row],[Drug Name8]],'Data Options'!$R$1:$S$100,2,FALSE), " ")</f>
        <v xml:space="preserve"> </v>
      </c>
      <c r="BD116" s="32"/>
      <c r="BE116" s="32"/>
      <c r="BF116" s="53"/>
      <c r="BG116" s="21" t="str">
        <f>IFERROR(VLOOKUP(January[[#This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21" t="str">
        <f>IFERROR(VLOOKUP(January[[#This Row],[Drug Name]],'Data Options'!$R$1:$S$100,2,FALSE), " ")</f>
        <v xml:space="preserve"> </v>
      </c>
      <c r="R117" s="32"/>
      <c r="S117" s="32"/>
      <c r="T117" s="53"/>
      <c r="U117" s="21" t="str">
        <f>IFERROR(VLOOKUP(January[[#This Row],[Drug Name2]],'Data Options'!$R$1:$S$100,2,FALSE), " ")</f>
        <v xml:space="preserve"> </v>
      </c>
      <c r="V117" s="32"/>
      <c r="W117" s="32"/>
      <c r="X117" s="53"/>
      <c r="Y117" s="21" t="str">
        <f>IFERROR(VLOOKUP(January[[#This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21" t="str">
        <f>IFERROR(VLOOKUP(January[[#This Row],[Drug Name4]],'Data Options'!$R$1:$S$100,2,FALSE), " ")</f>
        <v xml:space="preserve"> </v>
      </c>
      <c r="AI117" s="32"/>
      <c r="AJ117" s="32"/>
      <c r="AK117" s="53"/>
      <c r="AL117" s="21" t="str">
        <f>IFERROR(VLOOKUP(January[[#This Row],[Drug Name5]],'Data Options'!$R$1:$S$100,2,FALSE), " ")</f>
        <v xml:space="preserve"> </v>
      </c>
      <c r="AM117" s="32"/>
      <c r="AN117" s="32"/>
      <c r="AO117" s="53"/>
      <c r="AP117" s="21" t="str">
        <f>IFERROR(VLOOKUP(January[[#This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21" t="str">
        <f>IFERROR(VLOOKUP(January[[#This Row],[Drug Name7]],'Data Options'!$R$1:$S$100,2,FALSE), " ")</f>
        <v xml:space="preserve"> </v>
      </c>
      <c r="AZ117" s="32"/>
      <c r="BA117" s="32"/>
      <c r="BB117" s="53"/>
      <c r="BC117" s="21" t="str">
        <f>IFERROR(VLOOKUP(January[[#This Row],[Drug Name8]],'Data Options'!$R$1:$S$100,2,FALSE), " ")</f>
        <v xml:space="preserve"> </v>
      </c>
      <c r="BD117" s="32"/>
      <c r="BE117" s="32"/>
      <c r="BF117" s="53"/>
      <c r="BG117" s="21" t="str">
        <f>IFERROR(VLOOKUP(January[[#This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21" t="str">
        <f>IFERROR(VLOOKUP(January[[#This Row],[Drug Name]],'Data Options'!$R$1:$S$100,2,FALSE), " ")</f>
        <v xml:space="preserve"> </v>
      </c>
      <c r="R118" s="32"/>
      <c r="S118" s="32"/>
      <c r="T118" s="53"/>
      <c r="U118" s="21" t="str">
        <f>IFERROR(VLOOKUP(January[[#This Row],[Drug Name2]],'Data Options'!$R$1:$S$100,2,FALSE), " ")</f>
        <v xml:space="preserve"> </v>
      </c>
      <c r="V118" s="32"/>
      <c r="W118" s="32"/>
      <c r="X118" s="53"/>
      <c r="Y118" s="21" t="str">
        <f>IFERROR(VLOOKUP(January[[#This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21" t="str">
        <f>IFERROR(VLOOKUP(January[[#This Row],[Drug Name4]],'Data Options'!$R$1:$S$100,2,FALSE), " ")</f>
        <v xml:space="preserve"> </v>
      </c>
      <c r="AI118" s="32"/>
      <c r="AJ118" s="32"/>
      <c r="AK118" s="53"/>
      <c r="AL118" s="21" t="str">
        <f>IFERROR(VLOOKUP(January[[#This Row],[Drug Name5]],'Data Options'!$R$1:$S$100,2,FALSE), " ")</f>
        <v xml:space="preserve"> </v>
      </c>
      <c r="AM118" s="32"/>
      <c r="AN118" s="32"/>
      <c r="AO118" s="53"/>
      <c r="AP118" s="21" t="str">
        <f>IFERROR(VLOOKUP(January[[#This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21" t="str">
        <f>IFERROR(VLOOKUP(January[[#This Row],[Drug Name7]],'Data Options'!$R$1:$S$100,2,FALSE), " ")</f>
        <v xml:space="preserve"> </v>
      </c>
      <c r="AZ118" s="32"/>
      <c r="BA118" s="32"/>
      <c r="BB118" s="53"/>
      <c r="BC118" s="21" t="str">
        <f>IFERROR(VLOOKUP(January[[#This Row],[Drug Name8]],'Data Options'!$R$1:$S$100,2,FALSE), " ")</f>
        <v xml:space="preserve"> </v>
      </c>
      <c r="BD118" s="32"/>
      <c r="BE118" s="32"/>
      <c r="BF118" s="53"/>
      <c r="BG118" s="21" t="str">
        <f>IFERROR(VLOOKUP(January[[#This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21" t="str">
        <f>IFERROR(VLOOKUP(January[[#This Row],[Drug Name]],'Data Options'!$R$1:$S$100,2,FALSE), " ")</f>
        <v xml:space="preserve"> </v>
      </c>
      <c r="R119" s="32"/>
      <c r="S119" s="32"/>
      <c r="T119" s="53"/>
      <c r="U119" s="21" t="str">
        <f>IFERROR(VLOOKUP(January[[#This Row],[Drug Name2]],'Data Options'!$R$1:$S$100,2,FALSE), " ")</f>
        <v xml:space="preserve"> </v>
      </c>
      <c r="V119" s="32"/>
      <c r="W119" s="32"/>
      <c r="X119" s="53"/>
      <c r="Y119" s="21" t="str">
        <f>IFERROR(VLOOKUP(January[[#This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21" t="str">
        <f>IFERROR(VLOOKUP(January[[#This Row],[Drug Name4]],'Data Options'!$R$1:$S$100,2,FALSE), " ")</f>
        <v xml:space="preserve"> </v>
      </c>
      <c r="AI119" s="32"/>
      <c r="AJ119" s="32"/>
      <c r="AK119" s="53"/>
      <c r="AL119" s="21" t="str">
        <f>IFERROR(VLOOKUP(January[[#This Row],[Drug Name5]],'Data Options'!$R$1:$S$100,2,FALSE), " ")</f>
        <v xml:space="preserve"> </v>
      </c>
      <c r="AM119" s="32"/>
      <c r="AN119" s="32"/>
      <c r="AO119" s="53"/>
      <c r="AP119" s="21" t="str">
        <f>IFERROR(VLOOKUP(January[[#This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21" t="str">
        <f>IFERROR(VLOOKUP(January[[#This Row],[Drug Name7]],'Data Options'!$R$1:$S$100,2,FALSE), " ")</f>
        <v xml:space="preserve"> </v>
      </c>
      <c r="AZ119" s="32"/>
      <c r="BA119" s="32"/>
      <c r="BB119" s="53"/>
      <c r="BC119" s="21" t="str">
        <f>IFERROR(VLOOKUP(January[[#This Row],[Drug Name8]],'Data Options'!$R$1:$S$100,2,FALSE), " ")</f>
        <v xml:space="preserve"> </v>
      </c>
      <c r="BD119" s="32"/>
      <c r="BE119" s="32"/>
      <c r="BF119" s="53"/>
      <c r="BG119" s="21" t="str">
        <f>IFERROR(VLOOKUP(January[[#This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21" t="str">
        <f>IFERROR(VLOOKUP(January[[#This Row],[Drug Name]],'Data Options'!$R$1:$S$100,2,FALSE), " ")</f>
        <v xml:space="preserve"> </v>
      </c>
      <c r="R120" s="32"/>
      <c r="S120" s="32"/>
      <c r="T120" s="53"/>
      <c r="U120" s="21" t="str">
        <f>IFERROR(VLOOKUP(January[[#This Row],[Drug Name2]],'Data Options'!$R$1:$S$100,2,FALSE), " ")</f>
        <v xml:space="preserve"> </v>
      </c>
      <c r="V120" s="32"/>
      <c r="W120" s="32"/>
      <c r="X120" s="53"/>
      <c r="Y120" s="21" t="str">
        <f>IFERROR(VLOOKUP(January[[#This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21" t="str">
        <f>IFERROR(VLOOKUP(January[[#This Row],[Drug Name4]],'Data Options'!$R$1:$S$100,2,FALSE), " ")</f>
        <v xml:space="preserve"> </v>
      </c>
      <c r="AI120" s="32"/>
      <c r="AJ120" s="32"/>
      <c r="AK120" s="53"/>
      <c r="AL120" s="21" t="str">
        <f>IFERROR(VLOOKUP(January[[#This Row],[Drug Name5]],'Data Options'!$R$1:$S$100,2,FALSE), " ")</f>
        <v xml:space="preserve"> </v>
      </c>
      <c r="AM120" s="32"/>
      <c r="AN120" s="32"/>
      <c r="AO120" s="53"/>
      <c r="AP120" s="21" t="str">
        <f>IFERROR(VLOOKUP(January[[#This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21" t="str">
        <f>IFERROR(VLOOKUP(January[[#This Row],[Drug Name7]],'Data Options'!$R$1:$S$100,2,FALSE), " ")</f>
        <v xml:space="preserve"> </v>
      </c>
      <c r="AZ120" s="32"/>
      <c r="BA120" s="32"/>
      <c r="BB120" s="53"/>
      <c r="BC120" s="21" t="str">
        <f>IFERROR(VLOOKUP(January[[#This Row],[Drug Name8]],'Data Options'!$R$1:$S$100,2,FALSE), " ")</f>
        <v xml:space="preserve"> </v>
      </c>
      <c r="BD120" s="32"/>
      <c r="BE120" s="32"/>
      <c r="BF120" s="53"/>
      <c r="BG120" s="21" t="str">
        <f>IFERROR(VLOOKUP(January[[#This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21" t="str">
        <f>IFERROR(VLOOKUP(January[[#This Row],[Drug Name]],'Data Options'!$R$1:$S$100,2,FALSE), " ")</f>
        <v xml:space="preserve"> </v>
      </c>
      <c r="R121" s="32"/>
      <c r="S121" s="32"/>
      <c r="T121" s="53"/>
      <c r="U121" s="21" t="str">
        <f>IFERROR(VLOOKUP(January[[#This Row],[Drug Name2]],'Data Options'!$R$1:$S$100,2,FALSE), " ")</f>
        <v xml:space="preserve"> </v>
      </c>
      <c r="V121" s="32"/>
      <c r="W121" s="32"/>
      <c r="X121" s="53"/>
      <c r="Y121" s="21" t="str">
        <f>IFERROR(VLOOKUP(January[[#This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21" t="str">
        <f>IFERROR(VLOOKUP(January[[#This Row],[Drug Name4]],'Data Options'!$R$1:$S$100,2,FALSE), " ")</f>
        <v xml:space="preserve"> </v>
      </c>
      <c r="AI121" s="32"/>
      <c r="AJ121" s="32"/>
      <c r="AK121" s="53"/>
      <c r="AL121" s="21" t="str">
        <f>IFERROR(VLOOKUP(January[[#This Row],[Drug Name5]],'Data Options'!$R$1:$S$100,2,FALSE), " ")</f>
        <v xml:space="preserve"> </v>
      </c>
      <c r="AM121" s="32"/>
      <c r="AN121" s="32"/>
      <c r="AO121" s="53"/>
      <c r="AP121" s="21" t="str">
        <f>IFERROR(VLOOKUP(January[[#This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21" t="str">
        <f>IFERROR(VLOOKUP(January[[#This Row],[Drug Name7]],'Data Options'!$R$1:$S$100,2,FALSE), " ")</f>
        <v xml:space="preserve"> </v>
      </c>
      <c r="AZ121" s="32"/>
      <c r="BA121" s="32"/>
      <c r="BB121" s="53"/>
      <c r="BC121" s="21" t="str">
        <f>IFERROR(VLOOKUP(January[[#This Row],[Drug Name8]],'Data Options'!$R$1:$S$100,2,FALSE), " ")</f>
        <v xml:space="preserve"> </v>
      </c>
      <c r="BD121" s="32"/>
      <c r="BE121" s="32"/>
      <c r="BF121" s="53"/>
      <c r="BG121" s="21" t="str">
        <f>IFERROR(VLOOKUP(January[[#This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21" t="str">
        <f>IFERROR(VLOOKUP(January[[#This Row],[Drug Name]],'Data Options'!$R$1:$S$100,2,FALSE), " ")</f>
        <v xml:space="preserve"> </v>
      </c>
      <c r="R122" s="32"/>
      <c r="S122" s="32"/>
      <c r="T122" s="53"/>
      <c r="U122" s="21" t="str">
        <f>IFERROR(VLOOKUP(January[[#This Row],[Drug Name2]],'Data Options'!$R$1:$S$100,2,FALSE), " ")</f>
        <v xml:space="preserve"> </v>
      </c>
      <c r="V122" s="32"/>
      <c r="W122" s="32"/>
      <c r="X122" s="53"/>
      <c r="Y122" s="21" t="str">
        <f>IFERROR(VLOOKUP(January[[#This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21" t="str">
        <f>IFERROR(VLOOKUP(January[[#This Row],[Drug Name4]],'Data Options'!$R$1:$S$100,2,FALSE), " ")</f>
        <v xml:space="preserve"> </v>
      </c>
      <c r="AI122" s="32"/>
      <c r="AJ122" s="32"/>
      <c r="AK122" s="53"/>
      <c r="AL122" s="21" t="str">
        <f>IFERROR(VLOOKUP(January[[#This Row],[Drug Name5]],'Data Options'!$R$1:$S$100,2,FALSE), " ")</f>
        <v xml:space="preserve"> </v>
      </c>
      <c r="AM122" s="32"/>
      <c r="AN122" s="32"/>
      <c r="AO122" s="53"/>
      <c r="AP122" s="21" t="str">
        <f>IFERROR(VLOOKUP(January[[#This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21" t="str">
        <f>IFERROR(VLOOKUP(January[[#This Row],[Drug Name7]],'Data Options'!$R$1:$S$100,2,FALSE), " ")</f>
        <v xml:space="preserve"> </v>
      </c>
      <c r="AZ122" s="32"/>
      <c r="BA122" s="32"/>
      <c r="BB122" s="53"/>
      <c r="BC122" s="21" t="str">
        <f>IFERROR(VLOOKUP(January[[#This Row],[Drug Name8]],'Data Options'!$R$1:$S$100,2,FALSE), " ")</f>
        <v xml:space="preserve"> </v>
      </c>
      <c r="BD122" s="32"/>
      <c r="BE122" s="32"/>
      <c r="BF122" s="53"/>
      <c r="BG122" s="21" t="str">
        <f>IFERROR(VLOOKUP(January[[#This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21" t="str">
        <f>IFERROR(VLOOKUP(January[[#This Row],[Drug Name]],'Data Options'!$R$1:$S$100,2,FALSE), " ")</f>
        <v xml:space="preserve"> </v>
      </c>
      <c r="R123" s="32"/>
      <c r="S123" s="32"/>
      <c r="T123" s="53"/>
      <c r="U123" s="21" t="str">
        <f>IFERROR(VLOOKUP(January[[#This Row],[Drug Name2]],'Data Options'!$R$1:$S$100,2,FALSE), " ")</f>
        <v xml:space="preserve"> </v>
      </c>
      <c r="V123" s="32"/>
      <c r="W123" s="32"/>
      <c r="X123" s="53"/>
      <c r="Y123" s="21" t="str">
        <f>IFERROR(VLOOKUP(January[[#This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21" t="str">
        <f>IFERROR(VLOOKUP(January[[#This Row],[Drug Name4]],'Data Options'!$R$1:$S$100,2,FALSE), " ")</f>
        <v xml:space="preserve"> </v>
      </c>
      <c r="AI123" s="32"/>
      <c r="AJ123" s="32"/>
      <c r="AK123" s="53"/>
      <c r="AL123" s="21" t="str">
        <f>IFERROR(VLOOKUP(January[[#This Row],[Drug Name5]],'Data Options'!$R$1:$S$100,2,FALSE), " ")</f>
        <v xml:space="preserve"> </v>
      </c>
      <c r="AM123" s="32"/>
      <c r="AN123" s="32"/>
      <c r="AO123" s="53"/>
      <c r="AP123" s="21" t="str">
        <f>IFERROR(VLOOKUP(January[[#This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21" t="str">
        <f>IFERROR(VLOOKUP(January[[#This Row],[Drug Name7]],'Data Options'!$R$1:$S$100,2,FALSE), " ")</f>
        <v xml:space="preserve"> </v>
      </c>
      <c r="AZ123" s="32"/>
      <c r="BA123" s="32"/>
      <c r="BB123" s="53"/>
      <c r="BC123" s="21" t="str">
        <f>IFERROR(VLOOKUP(January[[#This Row],[Drug Name8]],'Data Options'!$R$1:$S$100,2,FALSE), " ")</f>
        <v xml:space="preserve"> </v>
      </c>
      <c r="BD123" s="32"/>
      <c r="BE123" s="32"/>
      <c r="BF123" s="53"/>
      <c r="BG123" s="21" t="str">
        <f>IFERROR(VLOOKUP(January[[#This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21" t="str">
        <f>IFERROR(VLOOKUP(January[[#This Row],[Drug Name]],'Data Options'!$R$1:$S$100,2,FALSE), " ")</f>
        <v xml:space="preserve"> </v>
      </c>
      <c r="R124" s="32"/>
      <c r="S124" s="32"/>
      <c r="T124" s="53"/>
      <c r="U124" s="21" t="str">
        <f>IFERROR(VLOOKUP(January[[#This Row],[Drug Name2]],'Data Options'!$R$1:$S$100,2,FALSE), " ")</f>
        <v xml:space="preserve"> </v>
      </c>
      <c r="V124" s="32"/>
      <c r="W124" s="32"/>
      <c r="X124" s="53"/>
      <c r="Y124" s="21" t="str">
        <f>IFERROR(VLOOKUP(January[[#This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21" t="str">
        <f>IFERROR(VLOOKUP(January[[#This Row],[Drug Name4]],'Data Options'!$R$1:$S$100,2,FALSE), " ")</f>
        <v xml:space="preserve"> </v>
      </c>
      <c r="AI124" s="32"/>
      <c r="AJ124" s="32"/>
      <c r="AK124" s="53"/>
      <c r="AL124" s="21" t="str">
        <f>IFERROR(VLOOKUP(January[[#This Row],[Drug Name5]],'Data Options'!$R$1:$S$100,2,FALSE), " ")</f>
        <v xml:space="preserve"> </v>
      </c>
      <c r="AM124" s="32"/>
      <c r="AN124" s="32"/>
      <c r="AO124" s="53"/>
      <c r="AP124" s="21" t="str">
        <f>IFERROR(VLOOKUP(January[[#This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21" t="str">
        <f>IFERROR(VLOOKUP(January[[#This Row],[Drug Name7]],'Data Options'!$R$1:$S$100,2,FALSE), " ")</f>
        <v xml:space="preserve"> </v>
      </c>
      <c r="AZ124" s="32"/>
      <c r="BA124" s="32"/>
      <c r="BB124" s="53"/>
      <c r="BC124" s="21" t="str">
        <f>IFERROR(VLOOKUP(January[[#This Row],[Drug Name8]],'Data Options'!$R$1:$S$100,2,FALSE), " ")</f>
        <v xml:space="preserve"> </v>
      </c>
      <c r="BD124" s="32"/>
      <c r="BE124" s="32"/>
      <c r="BF124" s="53"/>
      <c r="BG124" s="21" t="str">
        <f>IFERROR(VLOOKUP(January[[#This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21" t="str">
        <f>IFERROR(VLOOKUP(January[[#This Row],[Drug Name]],'Data Options'!$R$1:$S$100,2,FALSE), " ")</f>
        <v xml:space="preserve"> </v>
      </c>
      <c r="R125" s="32"/>
      <c r="S125" s="32"/>
      <c r="T125" s="53"/>
      <c r="U125" s="21" t="str">
        <f>IFERROR(VLOOKUP(January[[#This Row],[Drug Name2]],'Data Options'!$R$1:$S$100,2,FALSE), " ")</f>
        <v xml:space="preserve"> </v>
      </c>
      <c r="V125" s="32"/>
      <c r="W125" s="32"/>
      <c r="X125" s="53"/>
      <c r="Y125" s="21" t="str">
        <f>IFERROR(VLOOKUP(January[[#This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21" t="str">
        <f>IFERROR(VLOOKUP(January[[#This Row],[Drug Name4]],'Data Options'!$R$1:$S$100,2,FALSE), " ")</f>
        <v xml:space="preserve"> </v>
      </c>
      <c r="AI125" s="32"/>
      <c r="AJ125" s="32"/>
      <c r="AK125" s="53"/>
      <c r="AL125" s="21" t="str">
        <f>IFERROR(VLOOKUP(January[[#This Row],[Drug Name5]],'Data Options'!$R$1:$S$100,2,FALSE), " ")</f>
        <v xml:space="preserve"> </v>
      </c>
      <c r="AM125" s="32"/>
      <c r="AN125" s="32"/>
      <c r="AO125" s="53"/>
      <c r="AP125" s="21" t="str">
        <f>IFERROR(VLOOKUP(January[[#This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21" t="str">
        <f>IFERROR(VLOOKUP(January[[#This Row],[Drug Name7]],'Data Options'!$R$1:$S$100,2,FALSE), " ")</f>
        <v xml:space="preserve"> </v>
      </c>
      <c r="AZ125" s="32"/>
      <c r="BA125" s="32"/>
      <c r="BB125" s="53"/>
      <c r="BC125" s="21" t="str">
        <f>IFERROR(VLOOKUP(January[[#This Row],[Drug Name8]],'Data Options'!$R$1:$S$100,2,FALSE), " ")</f>
        <v xml:space="preserve"> </v>
      </c>
      <c r="BD125" s="32"/>
      <c r="BE125" s="32"/>
      <c r="BF125" s="53"/>
      <c r="BG125" s="21" t="str">
        <f>IFERROR(VLOOKUP(January[[#This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21" t="str">
        <f>IFERROR(VLOOKUP(January[[#This Row],[Drug Name]],'Data Options'!$R$1:$S$100,2,FALSE), " ")</f>
        <v xml:space="preserve"> </v>
      </c>
      <c r="R126" s="32"/>
      <c r="S126" s="32"/>
      <c r="T126" s="53"/>
      <c r="U126" s="21" t="str">
        <f>IFERROR(VLOOKUP(January[[#This Row],[Drug Name2]],'Data Options'!$R$1:$S$100,2,FALSE), " ")</f>
        <v xml:space="preserve"> </v>
      </c>
      <c r="V126" s="32"/>
      <c r="W126" s="32"/>
      <c r="X126" s="53"/>
      <c r="Y126" s="21" t="str">
        <f>IFERROR(VLOOKUP(January[[#This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21" t="str">
        <f>IFERROR(VLOOKUP(January[[#This Row],[Drug Name4]],'Data Options'!$R$1:$S$100,2,FALSE), " ")</f>
        <v xml:space="preserve"> </v>
      </c>
      <c r="AI126" s="32"/>
      <c r="AJ126" s="32"/>
      <c r="AK126" s="53"/>
      <c r="AL126" s="21" t="str">
        <f>IFERROR(VLOOKUP(January[[#This Row],[Drug Name5]],'Data Options'!$R$1:$S$100,2,FALSE), " ")</f>
        <v xml:space="preserve"> </v>
      </c>
      <c r="AM126" s="32"/>
      <c r="AN126" s="32"/>
      <c r="AO126" s="53"/>
      <c r="AP126" s="21" t="str">
        <f>IFERROR(VLOOKUP(January[[#This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21" t="str">
        <f>IFERROR(VLOOKUP(January[[#This Row],[Drug Name7]],'Data Options'!$R$1:$S$100,2,FALSE), " ")</f>
        <v xml:space="preserve"> </v>
      </c>
      <c r="AZ126" s="32"/>
      <c r="BA126" s="32"/>
      <c r="BB126" s="53"/>
      <c r="BC126" s="21" t="str">
        <f>IFERROR(VLOOKUP(January[[#This Row],[Drug Name8]],'Data Options'!$R$1:$S$100,2,FALSE), " ")</f>
        <v xml:space="preserve"> </v>
      </c>
      <c r="BD126" s="32"/>
      <c r="BE126" s="32"/>
      <c r="BF126" s="53"/>
      <c r="BG126" s="21" t="str">
        <f>IFERROR(VLOOKUP(January[[#This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21" t="str">
        <f>IFERROR(VLOOKUP(January[[#This Row],[Drug Name]],'Data Options'!$R$1:$S$100,2,FALSE), " ")</f>
        <v xml:space="preserve"> </v>
      </c>
      <c r="R127" s="32"/>
      <c r="S127" s="32"/>
      <c r="T127" s="53"/>
      <c r="U127" s="21" t="str">
        <f>IFERROR(VLOOKUP(January[[#This Row],[Drug Name2]],'Data Options'!$R$1:$S$100,2,FALSE), " ")</f>
        <v xml:space="preserve"> </v>
      </c>
      <c r="V127" s="32"/>
      <c r="W127" s="32"/>
      <c r="X127" s="53"/>
      <c r="Y127" s="21" t="str">
        <f>IFERROR(VLOOKUP(January[[#This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21" t="str">
        <f>IFERROR(VLOOKUP(January[[#This Row],[Drug Name4]],'Data Options'!$R$1:$S$100,2,FALSE), " ")</f>
        <v xml:space="preserve"> </v>
      </c>
      <c r="AI127" s="32"/>
      <c r="AJ127" s="32"/>
      <c r="AK127" s="53"/>
      <c r="AL127" s="21" t="str">
        <f>IFERROR(VLOOKUP(January[[#This Row],[Drug Name5]],'Data Options'!$R$1:$S$100,2,FALSE), " ")</f>
        <v xml:space="preserve"> </v>
      </c>
      <c r="AM127" s="32"/>
      <c r="AN127" s="32"/>
      <c r="AO127" s="53"/>
      <c r="AP127" s="21" t="str">
        <f>IFERROR(VLOOKUP(January[[#This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21" t="str">
        <f>IFERROR(VLOOKUP(January[[#This Row],[Drug Name7]],'Data Options'!$R$1:$S$100,2,FALSE), " ")</f>
        <v xml:space="preserve"> </v>
      </c>
      <c r="AZ127" s="32"/>
      <c r="BA127" s="32"/>
      <c r="BB127" s="53"/>
      <c r="BC127" s="21" t="str">
        <f>IFERROR(VLOOKUP(January[[#This Row],[Drug Name8]],'Data Options'!$R$1:$S$100,2,FALSE), " ")</f>
        <v xml:space="preserve"> </v>
      </c>
      <c r="BD127" s="32"/>
      <c r="BE127" s="32"/>
      <c r="BF127" s="53"/>
      <c r="BG127" s="21" t="str">
        <f>IFERROR(VLOOKUP(January[[#This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21" t="str">
        <f>IFERROR(VLOOKUP(January[[#This Row],[Drug Name]],'Data Options'!$R$1:$S$100,2,FALSE), " ")</f>
        <v xml:space="preserve"> </v>
      </c>
      <c r="R128" s="32"/>
      <c r="S128" s="32"/>
      <c r="T128" s="53"/>
      <c r="U128" s="21" t="str">
        <f>IFERROR(VLOOKUP(January[[#This Row],[Drug Name2]],'Data Options'!$R$1:$S$100,2,FALSE), " ")</f>
        <v xml:space="preserve"> </v>
      </c>
      <c r="V128" s="32"/>
      <c r="W128" s="32"/>
      <c r="X128" s="53"/>
      <c r="Y128" s="21" t="str">
        <f>IFERROR(VLOOKUP(January[[#This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21" t="str">
        <f>IFERROR(VLOOKUP(January[[#This Row],[Drug Name4]],'Data Options'!$R$1:$S$100,2,FALSE), " ")</f>
        <v xml:space="preserve"> </v>
      </c>
      <c r="AI128" s="32"/>
      <c r="AJ128" s="32"/>
      <c r="AK128" s="53"/>
      <c r="AL128" s="21" t="str">
        <f>IFERROR(VLOOKUP(January[[#This Row],[Drug Name5]],'Data Options'!$R$1:$S$100,2,FALSE), " ")</f>
        <v xml:space="preserve"> </v>
      </c>
      <c r="AM128" s="32"/>
      <c r="AN128" s="32"/>
      <c r="AO128" s="53"/>
      <c r="AP128" s="21" t="str">
        <f>IFERROR(VLOOKUP(January[[#This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21" t="str">
        <f>IFERROR(VLOOKUP(January[[#This Row],[Drug Name7]],'Data Options'!$R$1:$S$100,2,FALSE), " ")</f>
        <v xml:space="preserve"> </v>
      </c>
      <c r="AZ128" s="32"/>
      <c r="BA128" s="32"/>
      <c r="BB128" s="53"/>
      <c r="BC128" s="21" t="str">
        <f>IFERROR(VLOOKUP(January[[#This Row],[Drug Name8]],'Data Options'!$R$1:$S$100,2,FALSE), " ")</f>
        <v xml:space="preserve"> </v>
      </c>
      <c r="BD128" s="32"/>
      <c r="BE128" s="32"/>
      <c r="BF128" s="53"/>
      <c r="BG128" s="21" t="str">
        <f>IFERROR(VLOOKUP(January[[#This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21" t="str">
        <f>IFERROR(VLOOKUP(January[[#This Row],[Drug Name]],'Data Options'!$R$1:$S$100,2,FALSE), " ")</f>
        <v xml:space="preserve"> </v>
      </c>
      <c r="R129" s="32"/>
      <c r="S129" s="32"/>
      <c r="T129" s="53"/>
      <c r="U129" s="21" t="str">
        <f>IFERROR(VLOOKUP(January[[#This Row],[Drug Name2]],'Data Options'!$R$1:$S$100,2,FALSE), " ")</f>
        <v xml:space="preserve"> </v>
      </c>
      <c r="V129" s="32"/>
      <c r="W129" s="32"/>
      <c r="X129" s="53"/>
      <c r="Y129" s="21" t="str">
        <f>IFERROR(VLOOKUP(January[[#This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21" t="str">
        <f>IFERROR(VLOOKUP(January[[#This Row],[Drug Name4]],'Data Options'!$R$1:$S$100,2,FALSE), " ")</f>
        <v xml:space="preserve"> </v>
      </c>
      <c r="AI129" s="32"/>
      <c r="AJ129" s="32"/>
      <c r="AK129" s="53"/>
      <c r="AL129" s="21" t="str">
        <f>IFERROR(VLOOKUP(January[[#This Row],[Drug Name5]],'Data Options'!$R$1:$S$100,2,FALSE), " ")</f>
        <v xml:space="preserve"> </v>
      </c>
      <c r="AM129" s="32"/>
      <c r="AN129" s="32"/>
      <c r="AO129" s="53"/>
      <c r="AP129" s="21" t="str">
        <f>IFERROR(VLOOKUP(January[[#This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21" t="str">
        <f>IFERROR(VLOOKUP(January[[#This Row],[Drug Name7]],'Data Options'!$R$1:$S$100,2,FALSE), " ")</f>
        <v xml:space="preserve"> </v>
      </c>
      <c r="AZ129" s="32"/>
      <c r="BA129" s="32"/>
      <c r="BB129" s="53"/>
      <c r="BC129" s="21" t="str">
        <f>IFERROR(VLOOKUP(January[[#This Row],[Drug Name8]],'Data Options'!$R$1:$S$100,2,FALSE), " ")</f>
        <v xml:space="preserve"> </v>
      </c>
      <c r="BD129" s="32"/>
      <c r="BE129" s="32"/>
      <c r="BF129" s="53"/>
      <c r="BG129" s="21" t="str">
        <f>IFERROR(VLOOKUP(January[[#This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21" t="str">
        <f>IFERROR(VLOOKUP(January[[#This Row],[Drug Name]],'Data Options'!$R$1:$S$100,2,FALSE), " ")</f>
        <v xml:space="preserve"> </v>
      </c>
      <c r="R130" s="32"/>
      <c r="S130" s="32"/>
      <c r="T130" s="53"/>
      <c r="U130" s="21" t="str">
        <f>IFERROR(VLOOKUP(January[[#This Row],[Drug Name2]],'Data Options'!$R$1:$S$100,2,FALSE), " ")</f>
        <v xml:space="preserve"> </v>
      </c>
      <c r="V130" s="32"/>
      <c r="W130" s="32"/>
      <c r="X130" s="53"/>
      <c r="Y130" s="21" t="str">
        <f>IFERROR(VLOOKUP(January[[#This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21" t="str">
        <f>IFERROR(VLOOKUP(January[[#This Row],[Drug Name4]],'Data Options'!$R$1:$S$100,2,FALSE), " ")</f>
        <v xml:space="preserve"> </v>
      </c>
      <c r="AI130" s="32"/>
      <c r="AJ130" s="32"/>
      <c r="AK130" s="53"/>
      <c r="AL130" s="21" t="str">
        <f>IFERROR(VLOOKUP(January[[#This Row],[Drug Name5]],'Data Options'!$R$1:$S$100,2,FALSE), " ")</f>
        <v xml:space="preserve"> </v>
      </c>
      <c r="AM130" s="32"/>
      <c r="AN130" s="32"/>
      <c r="AO130" s="53"/>
      <c r="AP130" s="21" t="str">
        <f>IFERROR(VLOOKUP(January[[#This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21" t="str">
        <f>IFERROR(VLOOKUP(January[[#This Row],[Drug Name7]],'Data Options'!$R$1:$S$100,2,FALSE), " ")</f>
        <v xml:space="preserve"> </v>
      </c>
      <c r="AZ130" s="32"/>
      <c r="BA130" s="32"/>
      <c r="BB130" s="53"/>
      <c r="BC130" s="21" t="str">
        <f>IFERROR(VLOOKUP(January[[#This Row],[Drug Name8]],'Data Options'!$R$1:$S$100,2,FALSE), " ")</f>
        <v xml:space="preserve"> </v>
      </c>
      <c r="BD130" s="32"/>
      <c r="BE130" s="32"/>
      <c r="BF130" s="53"/>
      <c r="BG130" s="21" t="str">
        <f>IFERROR(VLOOKUP(January[[#This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21" t="str">
        <f>IFERROR(VLOOKUP(January[[#This Row],[Drug Name]],'Data Options'!$R$1:$S$100,2,FALSE), " ")</f>
        <v xml:space="preserve"> </v>
      </c>
      <c r="R131" s="32"/>
      <c r="S131" s="32"/>
      <c r="T131" s="53"/>
      <c r="U131" s="21" t="str">
        <f>IFERROR(VLOOKUP(January[[#This Row],[Drug Name2]],'Data Options'!$R$1:$S$100,2,FALSE), " ")</f>
        <v xml:space="preserve"> </v>
      </c>
      <c r="V131" s="32"/>
      <c r="W131" s="32"/>
      <c r="X131" s="53"/>
      <c r="Y131" s="21" t="str">
        <f>IFERROR(VLOOKUP(January[[#This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21" t="str">
        <f>IFERROR(VLOOKUP(January[[#This Row],[Drug Name4]],'Data Options'!$R$1:$S$100,2,FALSE), " ")</f>
        <v xml:space="preserve"> </v>
      </c>
      <c r="AI131" s="32"/>
      <c r="AJ131" s="32"/>
      <c r="AK131" s="53"/>
      <c r="AL131" s="21" t="str">
        <f>IFERROR(VLOOKUP(January[[#This Row],[Drug Name5]],'Data Options'!$R$1:$S$100,2,FALSE), " ")</f>
        <v xml:space="preserve"> </v>
      </c>
      <c r="AM131" s="32"/>
      <c r="AN131" s="32"/>
      <c r="AO131" s="53"/>
      <c r="AP131" s="21" t="str">
        <f>IFERROR(VLOOKUP(January[[#This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21" t="str">
        <f>IFERROR(VLOOKUP(January[[#This Row],[Drug Name7]],'Data Options'!$R$1:$S$100,2,FALSE), " ")</f>
        <v xml:space="preserve"> </v>
      </c>
      <c r="AZ131" s="32"/>
      <c r="BA131" s="32"/>
      <c r="BB131" s="53"/>
      <c r="BC131" s="21" t="str">
        <f>IFERROR(VLOOKUP(January[[#This Row],[Drug Name8]],'Data Options'!$R$1:$S$100,2,FALSE), " ")</f>
        <v xml:space="preserve"> </v>
      </c>
      <c r="BD131" s="32"/>
      <c r="BE131" s="32"/>
      <c r="BF131" s="53"/>
      <c r="BG131" s="21" t="str">
        <f>IFERROR(VLOOKUP(January[[#This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21" t="str">
        <f>IFERROR(VLOOKUP(January[[#This Row],[Drug Name]],'Data Options'!$R$1:$S$100,2,FALSE), " ")</f>
        <v xml:space="preserve"> </v>
      </c>
      <c r="R132" s="32"/>
      <c r="S132" s="32"/>
      <c r="T132" s="53"/>
      <c r="U132" s="21" t="str">
        <f>IFERROR(VLOOKUP(January[[#This Row],[Drug Name2]],'Data Options'!$R$1:$S$100,2,FALSE), " ")</f>
        <v xml:space="preserve"> </v>
      </c>
      <c r="V132" s="32"/>
      <c r="W132" s="32"/>
      <c r="X132" s="53"/>
      <c r="Y132" s="21" t="str">
        <f>IFERROR(VLOOKUP(January[[#This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21" t="str">
        <f>IFERROR(VLOOKUP(January[[#This Row],[Drug Name4]],'Data Options'!$R$1:$S$100,2,FALSE), " ")</f>
        <v xml:space="preserve"> </v>
      </c>
      <c r="AI132" s="32"/>
      <c r="AJ132" s="32"/>
      <c r="AK132" s="53"/>
      <c r="AL132" s="21" t="str">
        <f>IFERROR(VLOOKUP(January[[#This Row],[Drug Name5]],'Data Options'!$R$1:$S$100,2,FALSE), " ")</f>
        <v xml:space="preserve"> </v>
      </c>
      <c r="AM132" s="32"/>
      <c r="AN132" s="32"/>
      <c r="AO132" s="53"/>
      <c r="AP132" s="21" t="str">
        <f>IFERROR(VLOOKUP(January[[#This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21" t="str">
        <f>IFERROR(VLOOKUP(January[[#This Row],[Drug Name7]],'Data Options'!$R$1:$S$100,2,FALSE), " ")</f>
        <v xml:space="preserve"> </v>
      </c>
      <c r="AZ132" s="32"/>
      <c r="BA132" s="32"/>
      <c r="BB132" s="53"/>
      <c r="BC132" s="21" t="str">
        <f>IFERROR(VLOOKUP(January[[#This Row],[Drug Name8]],'Data Options'!$R$1:$S$100,2,FALSE), " ")</f>
        <v xml:space="preserve"> </v>
      </c>
      <c r="BD132" s="32"/>
      <c r="BE132" s="32"/>
      <c r="BF132" s="53"/>
      <c r="BG132" s="21" t="str">
        <f>IFERROR(VLOOKUP(January[[#This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21" t="str">
        <f>IFERROR(VLOOKUP(January[[#This Row],[Drug Name]],'Data Options'!$R$1:$S$100,2,FALSE), " ")</f>
        <v xml:space="preserve"> </v>
      </c>
      <c r="R133" s="32"/>
      <c r="S133" s="32"/>
      <c r="T133" s="53"/>
      <c r="U133" s="21" t="str">
        <f>IFERROR(VLOOKUP(January[[#This Row],[Drug Name2]],'Data Options'!$R$1:$S$100,2,FALSE), " ")</f>
        <v xml:space="preserve"> </v>
      </c>
      <c r="V133" s="32"/>
      <c r="W133" s="32"/>
      <c r="X133" s="53"/>
      <c r="Y133" s="21" t="str">
        <f>IFERROR(VLOOKUP(January[[#This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21" t="str">
        <f>IFERROR(VLOOKUP(January[[#This Row],[Drug Name4]],'Data Options'!$R$1:$S$100,2,FALSE), " ")</f>
        <v xml:space="preserve"> </v>
      </c>
      <c r="AI133" s="32"/>
      <c r="AJ133" s="32"/>
      <c r="AK133" s="53"/>
      <c r="AL133" s="21" t="str">
        <f>IFERROR(VLOOKUP(January[[#This Row],[Drug Name5]],'Data Options'!$R$1:$S$100,2,FALSE), " ")</f>
        <v xml:space="preserve"> </v>
      </c>
      <c r="AM133" s="32"/>
      <c r="AN133" s="32"/>
      <c r="AO133" s="53"/>
      <c r="AP133" s="21" t="str">
        <f>IFERROR(VLOOKUP(January[[#This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21" t="str">
        <f>IFERROR(VLOOKUP(January[[#This Row],[Drug Name7]],'Data Options'!$R$1:$S$100,2,FALSE), " ")</f>
        <v xml:space="preserve"> </v>
      </c>
      <c r="AZ133" s="32"/>
      <c r="BA133" s="32"/>
      <c r="BB133" s="53"/>
      <c r="BC133" s="21" t="str">
        <f>IFERROR(VLOOKUP(January[[#This Row],[Drug Name8]],'Data Options'!$R$1:$S$100,2,FALSE), " ")</f>
        <v xml:space="preserve"> </v>
      </c>
      <c r="BD133" s="32"/>
      <c r="BE133" s="32"/>
      <c r="BF133" s="53"/>
      <c r="BG133" s="21" t="str">
        <f>IFERROR(VLOOKUP(January[[#This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21" t="str">
        <f>IFERROR(VLOOKUP(January[[#This Row],[Drug Name]],'Data Options'!$R$1:$S$100,2,FALSE), " ")</f>
        <v xml:space="preserve"> </v>
      </c>
      <c r="R134" s="32"/>
      <c r="S134" s="32"/>
      <c r="T134" s="53"/>
      <c r="U134" s="21" t="str">
        <f>IFERROR(VLOOKUP(January[[#This Row],[Drug Name2]],'Data Options'!$R$1:$S$100,2,FALSE), " ")</f>
        <v xml:space="preserve"> </v>
      </c>
      <c r="V134" s="32"/>
      <c r="W134" s="32"/>
      <c r="X134" s="53"/>
      <c r="Y134" s="21" t="str">
        <f>IFERROR(VLOOKUP(January[[#This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21" t="str">
        <f>IFERROR(VLOOKUP(January[[#This Row],[Drug Name4]],'Data Options'!$R$1:$S$100,2,FALSE), " ")</f>
        <v xml:space="preserve"> </v>
      </c>
      <c r="AI134" s="32"/>
      <c r="AJ134" s="32"/>
      <c r="AK134" s="53"/>
      <c r="AL134" s="21" t="str">
        <f>IFERROR(VLOOKUP(January[[#This Row],[Drug Name5]],'Data Options'!$R$1:$S$100,2,FALSE), " ")</f>
        <v xml:space="preserve"> </v>
      </c>
      <c r="AM134" s="32"/>
      <c r="AN134" s="32"/>
      <c r="AO134" s="53"/>
      <c r="AP134" s="21" t="str">
        <f>IFERROR(VLOOKUP(January[[#This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21" t="str">
        <f>IFERROR(VLOOKUP(January[[#This Row],[Drug Name7]],'Data Options'!$R$1:$S$100,2,FALSE), " ")</f>
        <v xml:space="preserve"> </v>
      </c>
      <c r="AZ134" s="32"/>
      <c r="BA134" s="32"/>
      <c r="BB134" s="53"/>
      <c r="BC134" s="21" t="str">
        <f>IFERROR(VLOOKUP(January[[#This Row],[Drug Name8]],'Data Options'!$R$1:$S$100,2,FALSE), " ")</f>
        <v xml:space="preserve"> </v>
      </c>
      <c r="BD134" s="32"/>
      <c r="BE134" s="32"/>
      <c r="BF134" s="53"/>
      <c r="BG134" s="21" t="str">
        <f>IFERROR(VLOOKUP(January[[#This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21" t="str">
        <f>IFERROR(VLOOKUP(January[[#This Row],[Drug Name]],'Data Options'!$R$1:$S$100,2,FALSE), " ")</f>
        <v xml:space="preserve"> </v>
      </c>
      <c r="R135" s="32"/>
      <c r="S135" s="32"/>
      <c r="T135" s="53"/>
      <c r="U135" s="21" t="str">
        <f>IFERROR(VLOOKUP(January[[#This Row],[Drug Name2]],'Data Options'!$R$1:$S$100,2,FALSE), " ")</f>
        <v xml:space="preserve"> </v>
      </c>
      <c r="V135" s="32"/>
      <c r="W135" s="32"/>
      <c r="X135" s="53"/>
      <c r="Y135" s="21" t="str">
        <f>IFERROR(VLOOKUP(January[[#This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21" t="str">
        <f>IFERROR(VLOOKUP(January[[#This Row],[Drug Name4]],'Data Options'!$R$1:$S$100,2,FALSE), " ")</f>
        <v xml:space="preserve"> </v>
      </c>
      <c r="AI135" s="32"/>
      <c r="AJ135" s="32"/>
      <c r="AK135" s="53"/>
      <c r="AL135" s="21" t="str">
        <f>IFERROR(VLOOKUP(January[[#This Row],[Drug Name5]],'Data Options'!$R$1:$S$100,2,FALSE), " ")</f>
        <v xml:space="preserve"> </v>
      </c>
      <c r="AM135" s="32"/>
      <c r="AN135" s="32"/>
      <c r="AO135" s="53"/>
      <c r="AP135" s="21" t="str">
        <f>IFERROR(VLOOKUP(January[[#This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21" t="str">
        <f>IFERROR(VLOOKUP(January[[#This Row],[Drug Name7]],'Data Options'!$R$1:$S$100,2,FALSE), " ")</f>
        <v xml:space="preserve"> </v>
      </c>
      <c r="AZ135" s="32"/>
      <c r="BA135" s="32"/>
      <c r="BB135" s="53"/>
      <c r="BC135" s="21" t="str">
        <f>IFERROR(VLOOKUP(January[[#This Row],[Drug Name8]],'Data Options'!$R$1:$S$100,2,FALSE), " ")</f>
        <v xml:space="preserve"> </v>
      </c>
      <c r="BD135" s="32"/>
      <c r="BE135" s="32"/>
      <c r="BF135" s="53"/>
      <c r="BG135" s="21" t="str">
        <f>IFERROR(VLOOKUP(January[[#This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21" t="str">
        <f>IFERROR(VLOOKUP(January[[#This Row],[Drug Name]],'Data Options'!$R$1:$S$100,2,FALSE), " ")</f>
        <v xml:space="preserve"> </v>
      </c>
      <c r="R136" s="32"/>
      <c r="S136" s="32"/>
      <c r="T136" s="53"/>
      <c r="U136" s="21" t="str">
        <f>IFERROR(VLOOKUP(January[[#This Row],[Drug Name2]],'Data Options'!$R$1:$S$100,2,FALSE), " ")</f>
        <v xml:space="preserve"> </v>
      </c>
      <c r="V136" s="32"/>
      <c r="W136" s="32"/>
      <c r="X136" s="53"/>
      <c r="Y136" s="21" t="str">
        <f>IFERROR(VLOOKUP(January[[#This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21" t="str">
        <f>IFERROR(VLOOKUP(January[[#This Row],[Drug Name4]],'Data Options'!$R$1:$S$100,2,FALSE), " ")</f>
        <v xml:space="preserve"> </v>
      </c>
      <c r="AI136" s="32"/>
      <c r="AJ136" s="32"/>
      <c r="AK136" s="53"/>
      <c r="AL136" s="21" t="str">
        <f>IFERROR(VLOOKUP(January[[#This Row],[Drug Name5]],'Data Options'!$R$1:$S$100,2,FALSE), " ")</f>
        <v xml:space="preserve"> </v>
      </c>
      <c r="AM136" s="32"/>
      <c r="AN136" s="32"/>
      <c r="AO136" s="53"/>
      <c r="AP136" s="21" t="str">
        <f>IFERROR(VLOOKUP(January[[#This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21" t="str">
        <f>IFERROR(VLOOKUP(January[[#This Row],[Drug Name7]],'Data Options'!$R$1:$S$100,2,FALSE), " ")</f>
        <v xml:space="preserve"> </v>
      </c>
      <c r="AZ136" s="32"/>
      <c r="BA136" s="32"/>
      <c r="BB136" s="53"/>
      <c r="BC136" s="21" t="str">
        <f>IFERROR(VLOOKUP(January[[#This Row],[Drug Name8]],'Data Options'!$R$1:$S$100,2,FALSE), " ")</f>
        <v xml:space="preserve"> </v>
      </c>
      <c r="BD136" s="32"/>
      <c r="BE136" s="32"/>
      <c r="BF136" s="53"/>
      <c r="BG136" s="21" t="str">
        <f>IFERROR(VLOOKUP(January[[#This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21" t="str">
        <f>IFERROR(VLOOKUP(January[[#This Row],[Drug Name]],'Data Options'!$R$1:$S$100,2,FALSE), " ")</f>
        <v xml:space="preserve"> </v>
      </c>
      <c r="R137" s="32"/>
      <c r="S137" s="32"/>
      <c r="T137" s="53"/>
      <c r="U137" s="21" t="str">
        <f>IFERROR(VLOOKUP(January[[#This Row],[Drug Name2]],'Data Options'!$R$1:$S$100,2,FALSE), " ")</f>
        <v xml:space="preserve"> </v>
      </c>
      <c r="V137" s="32"/>
      <c r="W137" s="32"/>
      <c r="X137" s="53"/>
      <c r="Y137" s="21" t="str">
        <f>IFERROR(VLOOKUP(January[[#This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21" t="str">
        <f>IFERROR(VLOOKUP(January[[#This Row],[Drug Name4]],'Data Options'!$R$1:$S$100,2,FALSE), " ")</f>
        <v xml:space="preserve"> </v>
      </c>
      <c r="AI137" s="32"/>
      <c r="AJ137" s="32"/>
      <c r="AK137" s="53"/>
      <c r="AL137" s="21" t="str">
        <f>IFERROR(VLOOKUP(January[[#This Row],[Drug Name5]],'Data Options'!$R$1:$S$100,2,FALSE), " ")</f>
        <v xml:space="preserve"> </v>
      </c>
      <c r="AM137" s="32"/>
      <c r="AN137" s="32"/>
      <c r="AO137" s="53"/>
      <c r="AP137" s="21" t="str">
        <f>IFERROR(VLOOKUP(January[[#This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21" t="str">
        <f>IFERROR(VLOOKUP(January[[#This Row],[Drug Name7]],'Data Options'!$R$1:$S$100,2,FALSE), " ")</f>
        <v xml:space="preserve"> </v>
      </c>
      <c r="AZ137" s="32"/>
      <c r="BA137" s="32"/>
      <c r="BB137" s="53"/>
      <c r="BC137" s="21" t="str">
        <f>IFERROR(VLOOKUP(January[[#This Row],[Drug Name8]],'Data Options'!$R$1:$S$100,2,FALSE), " ")</f>
        <v xml:space="preserve"> </v>
      </c>
      <c r="BD137" s="32"/>
      <c r="BE137" s="32"/>
      <c r="BF137" s="53"/>
      <c r="BG137" s="21" t="str">
        <f>IFERROR(VLOOKUP(January[[#This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21" t="str">
        <f>IFERROR(VLOOKUP(January[[#This Row],[Drug Name]],'Data Options'!$R$1:$S$100,2,FALSE), " ")</f>
        <v xml:space="preserve"> </v>
      </c>
      <c r="R138" s="32"/>
      <c r="S138" s="32"/>
      <c r="T138" s="53"/>
      <c r="U138" s="21" t="str">
        <f>IFERROR(VLOOKUP(January[[#This Row],[Drug Name2]],'Data Options'!$R$1:$S$100,2,FALSE), " ")</f>
        <v xml:space="preserve"> </v>
      </c>
      <c r="V138" s="32"/>
      <c r="W138" s="32"/>
      <c r="X138" s="53"/>
      <c r="Y138" s="21" t="str">
        <f>IFERROR(VLOOKUP(January[[#This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21" t="str">
        <f>IFERROR(VLOOKUP(January[[#This Row],[Drug Name4]],'Data Options'!$R$1:$S$100,2,FALSE), " ")</f>
        <v xml:space="preserve"> </v>
      </c>
      <c r="AI138" s="32"/>
      <c r="AJ138" s="32"/>
      <c r="AK138" s="53"/>
      <c r="AL138" s="21" t="str">
        <f>IFERROR(VLOOKUP(January[[#This Row],[Drug Name5]],'Data Options'!$R$1:$S$100,2,FALSE), " ")</f>
        <v xml:space="preserve"> </v>
      </c>
      <c r="AM138" s="32"/>
      <c r="AN138" s="32"/>
      <c r="AO138" s="53"/>
      <c r="AP138" s="21" t="str">
        <f>IFERROR(VLOOKUP(January[[#This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21" t="str">
        <f>IFERROR(VLOOKUP(January[[#This Row],[Drug Name7]],'Data Options'!$R$1:$S$100,2,FALSE), " ")</f>
        <v xml:space="preserve"> </v>
      </c>
      <c r="AZ138" s="32"/>
      <c r="BA138" s="32"/>
      <c r="BB138" s="53"/>
      <c r="BC138" s="21" t="str">
        <f>IFERROR(VLOOKUP(January[[#This Row],[Drug Name8]],'Data Options'!$R$1:$S$100,2,FALSE), " ")</f>
        <v xml:space="preserve"> </v>
      </c>
      <c r="BD138" s="32"/>
      <c r="BE138" s="32"/>
      <c r="BF138" s="53"/>
      <c r="BG138" s="21" t="str">
        <f>IFERROR(VLOOKUP(January[[#This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21" t="str">
        <f>IFERROR(VLOOKUP(January[[#This Row],[Drug Name]],'Data Options'!$R$1:$S$100,2,FALSE), " ")</f>
        <v xml:space="preserve"> </v>
      </c>
      <c r="R139" s="32"/>
      <c r="S139" s="32"/>
      <c r="T139" s="53"/>
      <c r="U139" s="21" t="str">
        <f>IFERROR(VLOOKUP(January[[#This Row],[Drug Name2]],'Data Options'!$R$1:$S$100,2,FALSE), " ")</f>
        <v xml:space="preserve"> </v>
      </c>
      <c r="V139" s="32"/>
      <c r="W139" s="32"/>
      <c r="X139" s="53"/>
      <c r="Y139" s="21" t="str">
        <f>IFERROR(VLOOKUP(January[[#This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21" t="str">
        <f>IFERROR(VLOOKUP(January[[#This Row],[Drug Name4]],'Data Options'!$R$1:$S$100,2,FALSE), " ")</f>
        <v xml:space="preserve"> </v>
      </c>
      <c r="AI139" s="32"/>
      <c r="AJ139" s="32"/>
      <c r="AK139" s="53"/>
      <c r="AL139" s="21" t="str">
        <f>IFERROR(VLOOKUP(January[[#This Row],[Drug Name5]],'Data Options'!$R$1:$S$100,2,FALSE), " ")</f>
        <v xml:space="preserve"> </v>
      </c>
      <c r="AM139" s="32"/>
      <c r="AN139" s="32"/>
      <c r="AO139" s="53"/>
      <c r="AP139" s="21" t="str">
        <f>IFERROR(VLOOKUP(January[[#This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21" t="str">
        <f>IFERROR(VLOOKUP(January[[#This Row],[Drug Name7]],'Data Options'!$R$1:$S$100,2,FALSE), " ")</f>
        <v xml:space="preserve"> </v>
      </c>
      <c r="AZ139" s="32"/>
      <c r="BA139" s="32"/>
      <c r="BB139" s="53"/>
      <c r="BC139" s="21" t="str">
        <f>IFERROR(VLOOKUP(January[[#This Row],[Drug Name8]],'Data Options'!$R$1:$S$100,2,FALSE), " ")</f>
        <v xml:space="preserve"> </v>
      </c>
      <c r="BD139" s="32"/>
      <c r="BE139" s="32"/>
      <c r="BF139" s="53"/>
      <c r="BG139" s="21" t="str">
        <f>IFERROR(VLOOKUP(January[[#This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21" t="str">
        <f>IFERROR(VLOOKUP(January[[#This Row],[Drug Name]],'Data Options'!$R$1:$S$100,2,FALSE), " ")</f>
        <v xml:space="preserve"> </v>
      </c>
      <c r="R140" s="32"/>
      <c r="S140" s="32"/>
      <c r="T140" s="53"/>
      <c r="U140" s="21" t="str">
        <f>IFERROR(VLOOKUP(January[[#This Row],[Drug Name2]],'Data Options'!$R$1:$S$100,2,FALSE), " ")</f>
        <v xml:space="preserve"> </v>
      </c>
      <c r="V140" s="32"/>
      <c r="W140" s="32"/>
      <c r="X140" s="53"/>
      <c r="Y140" s="21" t="str">
        <f>IFERROR(VLOOKUP(January[[#This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21" t="str">
        <f>IFERROR(VLOOKUP(January[[#This Row],[Drug Name4]],'Data Options'!$R$1:$S$100,2,FALSE), " ")</f>
        <v xml:space="preserve"> </v>
      </c>
      <c r="AI140" s="32"/>
      <c r="AJ140" s="32"/>
      <c r="AK140" s="53"/>
      <c r="AL140" s="21" t="str">
        <f>IFERROR(VLOOKUP(January[[#This Row],[Drug Name5]],'Data Options'!$R$1:$S$100,2,FALSE), " ")</f>
        <v xml:space="preserve"> </v>
      </c>
      <c r="AM140" s="32"/>
      <c r="AN140" s="32"/>
      <c r="AO140" s="53"/>
      <c r="AP140" s="21" t="str">
        <f>IFERROR(VLOOKUP(January[[#This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21" t="str">
        <f>IFERROR(VLOOKUP(January[[#This Row],[Drug Name7]],'Data Options'!$R$1:$S$100,2,FALSE), " ")</f>
        <v xml:space="preserve"> </v>
      </c>
      <c r="AZ140" s="32"/>
      <c r="BA140" s="32"/>
      <c r="BB140" s="53"/>
      <c r="BC140" s="21" t="str">
        <f>IFERROR(VLOOKUP(January[[#This Row],[Drug Name8]],'Data Options'!$R$1:$S$100,2,FALSE), " ")</f>
        <v xml:space="preserve"> </v>
      </c>
      <c r="BD140" s="32"/>
      <c r="BE140" s="32"/>
      <c r="BF140" s="53"/>
      <c r="BG140" s="21" t="str">
        <f>IFERROR(VLOOKUP(January[[#This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21" t="str">
        <f>IFERROR(VLOOKUP(January[[#This Row],[Drug Name]],'Data Options'!$R$1:$S$100,2,FALSE), " ")</f>
        <v xml:space="preserve"> </v>
      </c>
      <c r="R141" s="32"/>
      <c r="S141" s="32"/>
      <c r="T141" s="53"/>
      <c r="U141" s="21" t="str">
        <f>IFERROR(VLOOKUP(January[[#This Row],[Drug Name2]],'Data Options'!$R$1:$S$100,2,FALSE), " ")</f>
        <v xml:space="preserve"> </v>
      </c>
      <c r="V141" s="32"/>
      <c r="W141" s="32"/>
      <c r="X141" s="53"/>
      <c r="Y141" s="21" t="str">
        <f>IFERROR(VLOOKUP(January[[#This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21" t="str">
        <f>IFERROR(VLOOKUP(January[[#This Row],[Drug Name4]],'Data Options'!$R$1:$S$100,2,FALSE), " ")</f>
        <v xml:space="preserve"> </v>
      </c>
      <c r="AI141" s="32"/>
      <c r="AJ141" s="32"/>
      <c r="AK141" s="53"/>
      <c r="AL141" s="21" t="str">
        <f>IFERROR(VLOOKUP(January[[#This Row],[Drug Name5]],'Data Options'!$R$1:$S$100,2,FALSE), " ")</f>
        <v xml:space="preserve"> </v>
      </c>
      <c r="AM141" s="32"/>
      <c r="AN141" s="32"/>
      <c r="AO141" s="53"/>
      <c r="AP141" s="21" t="str">
        <f>IFERROR(VLOOKUP(January[[#This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21" t="str">
        <f>IFERROR(VLOOKUP(January[[#This Row],[Drug Name7]],'Data Options'!$R$1:$S$100,2,FALSE), " ")</f>
        <v xml:space="preserve"> </v>
      </c>
      <c r="AZ141" s="32"/>
      <c r="BA141" s="32"/>
      <c r="BB141" s="53"/>
      <c r="BC141" s="21" t="str">
        <f>IFERROR(VLOOKUP(January[[#This Row],[Drug Name8]],'Data Options'!$R$1:$S$100,2,FALSE), " ")</f>
        <v xml:space="preserve"> </v>
      </c>
      <c r="BD141" s="32"/>
      <c r="BE141" s="32"/>
      <c r="BF141" s="53"/>
      <c r="BG141" s="21" t="str">
        <f>IFERROR(VLOOKUP(January[[#This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21" t="str">
        <f>IFERROR(VLOOKUP(January[[#This Row],[Drug Name]],'Data Options'!$R$1:$S$100,2,FALSE), " ")</f>
        <v xml:space="preserve"> </v>
      </c>
      <c r="R142" s="32"/>
      <c r="S142" s="32"/>
      <c r="T142" s="53"/>
      <c r="U142" s="21" t="str">
        <f>IFERROR(VLOOKUP(January[[#This Row],[Drug Name2]],'Data Options'!$R$1:$S$100,2,FALSE), " ")</f>
        <v xml:space="preserve"> </v>
      </c>
      <c r="V142" s="32"/>
      <c r="W142" s="32"/>
      <c r="X142" s="53"/>
      <c r="Y142" s="21" t="str">
        <f>IFERROR(VLOOKUP(January[[#This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21" t="str">
        <f>IFERROR(VLOOKUP(January[[#This Row],[Drug Name4]],'Data Options'!$R$1:$S$100,2,FALSE), " ")</f>
        <v xml:space="preserve"> </v>
      </c>
      <c r="AI142" s="32"/>
      <c r="AJ142" s="32"/>
      <c r="AK142" s="53"/>
      <c r="AL142" s="21" t="str">
        <f>IFERROR(VLOOKUP(January[[#This Row],[Drug Name5]],'Data Options'!$R$1:$S$100,2,FALSE), " ")</f>
        <v xml:space="preserve"> </v>
      </c>
      <c r="AM142" s="32"/>
      <c r="AN142" s="32"/>
      <c r="AO142" s="53"/>
      <c r="AP142" s="21" t="str">
        <f>IFERROR(VLOOKUP(January[[#This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21" t="str">
        <f>IFERROR(VLOOKUP(January[[#This Row],[Drug Name7]],'Data Options'!$R$1:$S$100,2,FALSE), " ")</f>
        <v xml:space="preserve"> </v>
      </c>
      <c r="AZ142" s="32"/>
      <c r="BA142" s="32"/>
      <c r="BB142" s="53"/>
      <c r="BC142" s="21" t="str">
        <f>IFERROR(VLOOKUP(January[[#This Row],[Drug Name8]],'Data Options'!$R$1:$S$100,2,FALSE), " ")</f>
        <v xml:space="preserve"> </v>
      </c>
      <c r="BD142" s="32"/>
      <c r="BE142" s="32"/>
      <c r="BF142" s="53"/>
      <c r="BG142" s="21" t="str">
        <f>IFERROR(VLOOKUP(January[[#This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21" t="str">
        <f>IFERROR(VLOOKUP(January[[#This Row],[Drug Name]],'Data Options'!$R$1:$S$100,2,FALSE), " ")</f>
        <v xml:space="preserve"> </v>
      </c>
      <c r="R143" s="32"/>
      <c r="S143" s="32"/>
      <c r="T143" s="53"/>
      <c r="U143" s="21" t="str">
        <f>IFERROR(VLOOKUP(January[[#This Row],[Drug Name2]],'Data Options'!$R$1:$S$100,2,FALSE), " ")</f>
        <v xml:space="preserve"> </v>
      </c>
      <c r="V143" s="32"/>
      <c r="W143" s="32"/>
      <c r="X143" s="53"/>
      <c r="Y143" s="21" t="str">
        <f>IFERROR(VLOOKUP(January[[#This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21" t="str">
        <f>IFERROR(VLOOKUP(January[[#This Row],[Drug Name4]],'Data Options'!$R$1:$S$100,2,FALSE), " ")</f>
        <v xml:space="preserve"> </v>
      </c>
      <c r="AI143" s="32"/>
      <c r="AJ143" s="32"/>
      <c r="AK143" s="53"/>
      <c r="AL143" s="21" t="str">
        <f>IFERROR(VLOOKUP(January[[#This Row],[Drug Name5]],'Data Options'!$R$1:$S$100,2,FALSE), " ")</f>
        <v xml:space="preserve"> </v>
      </c>
      <c r="AM143" s="32"/>
      <c r="AN143" s="32"/>
      <c r="AO143" s="53"/>
      <c r="AP143" s="21" t="str">
        <f>IFERROR(VLOOKUP(January[[#This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21" t="str">
        <f>IFERROR(VLOOKUP(January[[#This Row],[Drug Name7]],'Data Options'!$R$1:$S$100,2,FALSE), " ")</f>
        <v xml:space="preserve"> </v>
      </c>
      <c r="AZ143" s="32"/>
      <c r="BA143" s="32"/>
      <c r="BB143" s="53"/>
      <c r="BC143" s="21" t="str">
        <f>IFERROR(VLOOKUP(January[[#This Row],[Drug Name8]],'Data Options'!$R$1:$S$100,2,FALSE), " ")</f>
        <v xml:space="preserve"> </v>
      </c>
      <c r="BD143" s="32"/>
      <c r="BE143" s="32"/>
      <c r="BF143" s="53"/>
      <c r="BG143" s="21" t="str">
        <f>IFERROR(VLOOKUP(January[[#This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21" t="str">
        <f>IFERROR(VLOOKUP(January[[#This Row],[Drug Name]],'Data Options'!$R$1:$S$100,2,FALSE), " ")</f>
        <v xml:space="preserve"> </v>
      </c>
      <c r="R144" s="32"/>
      <c r="S144" s="32"/>
      <c r="T144" s="53"/>
      <c r="U144" s="21" t="str">
        <f>IFERROR(VLOOKUP(January[[#This Row],[Drug Name2]],'Data Options'!$R$1:$S$100,2,FALSE), " ")</f>
        <v xml:space="preserve"> </v>
      </c>
      <c r="V144" s="32"/>
      <c r="W144" s="32"/>
      <c r="X144" s="53"/>
      <c r="Y144" s="21" t="str">
        <f>IFERROR(VLOOKUP(January[[#This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21" t="str">
        <f>IFERROR(VLOOKUP(January[[#This Row],[Drug Name4]],'Data Options'!$R$1:$S$100,2,FALSE), " ")</f>
        <v xml:space="preserve"> </v>
      </c>
      <c r="AI144" s="32"/>
      <c r="AJ144" s="32"/>
      <c r="AK144" s="53"/>
      <c r="AL144" s="21" t="str">
        <f>IFERROR(VLOOKUP(January[[#This Row],[Drug Name5]],'Data Options'!$R$1:$S$100,2,FALSE), " ")</f>
        <v xml:space="preserve"> </v>
      </c>
      <c r="AM144" s="32"/>
      <c r="AN144" s="32"/>
      <c r="AO144" s="53"/>
      <c r="AP144" s="21" t="str">
        <f>IFERROR(VLOOKUP(January[[#This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21" t="str">
        <f>IFERROR(VLOOKUP(January[[#This Row],[Drug Name7]],'Data Options'!$R$1:$S$100,2,FALSE), " ")</f>
        <v xml:space="preserve"> </v>
      </c>
      <c r="AZ144" s="32"/>
      <c r="BA144" s="32"/>
      <c r="BB144" s="53"/>
      <c r="BC144" s="21" t="str">
        <f>IFERROR(VLOOKUP(January[[#This Row],[Drug Name8]],'Data Options'!$R$1:$S$100,2,FALSE), " ")</f>
        <v xml:space="preserve"> </v>
      </c>
      <c r="BD144" s="32"/>
      <c r="BE144" s="32"/>
      <c r="BF144" s="53"/>
      <c r="BG144" s="21" t="str">
        <f>IFERROR(VLOOKUP(January[[#This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21" t="str">
        <f>IFERROR(VLOOKUP(January[[#This Row],[Drug Name]],'Data Options'!$R$1:$S$100,2,FALSE), " ")</f>
        <v xml:space="preserve"> </v>
      </c>
      <c r="R145" s="32"/>
      <c r="S145" s="32"/>
      <c r="T145" s="53"/>
      <c r="U145" s="21" t="str">
        <f>IFERROR(VLOOKUP(January[[#This Row],[Drug Name2]],'Data Options'!$R$1:$S$100,2,FALSE), " ")</f>
        <v xml:space="preserve"> </v>
      </c>
      <c r="V145" s="32"/>
      <c r="W145" s="32"/>
      <c r="X145" s="53"/>
      <c r="Y145" s="21" t="str">
        <f>IFERROR(VLOOKUP(January[[#This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21" t="str">
        <f>IFERROR(VLOOKUP(January[[#This Row],[Drug Name4]],'Data Options'!$R$1:$S$100,2,FALSE), " ")</f>
        <v xml:space="preserve"> </v>
      </c>
      <c r="AI145" s="32"/>
      <c r="AJ145" s="32"/>
      <c r="AK145" s="53"/>
      <c r="AL145" s="21" t="str">
        <f>IFERROR(VLOOKUP(January[[#This Row],[Drug Name5]],'Data Options'!$R$1:$S$100,2,FALSE), " ")</f>
        <v xml:space="preserve"> </v>
      </c>
      <c r="AM145" s="32"/>
      <c r="AN145" s="32"/>
      <c r="AO145" s="53"/>
      <c r="AP145" s="21" t="str">
        <f>IFERROR(VLOOKUP(January[[#This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21" t="str">
        <f>IFERROR(VLOOKUP(January[[#This Row],[Drug Name7]],'Data Options'!$R$1:$S$100,2,FALSE), " ")</f>
        <v xml:space="preserve"> </v>
      </c>
      <c r="AZ145" s="32"/>
      <c r="BA145" s="32"/>
      <c r="BB145" s="53"/>
      <c r="BC145" s="21" t="str">
        <f>IFERROR(VLOOKUP(January[[#This Row],[Drug Name8]],'Data Options'!$R$1:$S$100,2,FALSE), " ")</f>
        <v xml:space="preserve"> </v>
      </c>
      <c r="BD145" s="32"/>
      <c r="BE145" s="32"/>
      <c r="BF145" s="53"/>
      <c r="BG145" s="21" t="str">
        <f>IFERROR(VLOOKUP(January[[#This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21" t="str">
        <f>IFERROR(VLOOKUP(January[[#This Row],[Drug Name]],'Data Options'!$R$1:$S$100,2,FALSE), " ")</f>
        <v xml:space="preserve"> </v>
      </c>
      <c r="R146" s="32"/>
      <c r="S146" s="32"/>
      <c r="T146" s="53"/>
      <c r="U146" s="21" t="str">
        <f>IFERROR(VLOOKUP(January[[#This Row],[Drug Name2]],'Data Options'!$R$1:$S$100,2,FALSE), " ")</f>
        <v xml:space="preserve"> </v>
      </c>
      <c r="V146" s="32"/>
      <c r="W146" s="32"/>
      <c r="X146" s="53"/>
      <c r="Y146" s="21" t="str">
        <f>IFERROR(VLOOKUP(January[[#This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21" t="str">
        <f>IFERROR(VLOOKUP(January[[#This Row],[Drug Name4]],'Data Options'!$R$1:$S$100,2,FALSE), " ")</f>
        <v xml:space="preserve"> </v>
      </c>
      <c r="AI146" s="32"/>
      <c r="AJ146" s="32"/>
      <c r="AK146" s="53"/>
      <c r="AL146" s="21" t="str">
        <f>IFERROR(VLOOKUP(January[[#This Row],[Drug Name5]],'Data Options'!$R$1:$S$100,2,FALSE), " ")</f>
        <v xml:space="preserve"> </v>
      </c>
      <c r="AM146" s="32"/>
      <c r="AN146" s="32"/>
      <c r="AO146" s="53"/>
      <c r="AP146" s="21" t="str">
        <f>IFERROR(VLOOKUP(January[[#This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21" t="str">
        <f>IFERROR(VLOOKUP(January[[#This Row],[Drug Name7]],'Data Options'!$R$1:$S$100,2,FALSE), " ")</f>
        <v xml:space="preserve"> </v>
      </c>
      <c r="AZ146" s="32"/>
      <c r="BA146" s="32"/>
      <c r="BB146" s="53"/>
      <c r="BC146" s="21" t="str">
        <f>IFERROR(VLOOKUP(January[[#This Row],[Drug Name8]],'Data Options'!$R$1:$S$100,2,FALSE), " ")</f>
        <v xml:space="preserve"> </v>
      </c>
      <c r="BD146" s="32"/>
      <c r="BE146" s="32"/>
      <c r="BF146" s="53"/>
      <c r="BG146" s="21" t="str">
        <f>IFERROR(VLOOKUP(January[[#This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21" t="str">
        <f>IFERROR(VLOOKUP(January[[#This Row],[Drug Name]],'Data Options'!$R$1:$S$100,2,FALSE), " ")</f>
        <v xml:space="preserve"> </v>
      </c>
      <c r="R147" s="32"/>
      <c r="S147" s="32"/>
      <c r="T147" s="53"/>
      <c r="U147" s="21" t="str">
        <f>IFERROR(VLOOKUP(January[[#This Row],[Drug Name2]],'Data Options'!$R$1:$S$100,2,FALSE), " ")</f>
        <v xml:space="preserve"> </v>
      </c>
      <c r="V147" s="32"/>
      <c r="W147" s="32"/>
      <c r="X147" s="53"/>
      <c r="Y147" s="21" t="str">
        <f>IFERROR(VLOOKUP(January[[#This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21" t="str">
        <f>IFERROR(VLOOKUP(January[[#This Row],[Drug Name4]],'Data Options'!$R$1:$S$100,2,FALSE), " ")</f>
        <v xml:space="preserve"> </v>
      </c>
      <c r="AI147" s="32"/>
      <c r="AJ147" s="32"/>
      <c r="AK147" s="53"/>
      <c r="AL147" s="21" t="str">
        <f>IFERROR(VLOOKUP(January[[#This Row],[Drug Name5]],'Data Options'!$R$1:$S$100,2,FALSE), " ")</f>
        <v xml:space="preserve"> </v>
      </c>
      <c r="AM147" s="32"/>
      <c r="AN147" s="32"/>
      <c r="AO147" s="53"/>
      <c r="AP147" s="21" t="str">
        <f>IFERROR(VLOOKUP(January[[#This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21" t="str">
        <f>IFERROR(VLOOKUP(January[[#This Row],[Drug Name7]],'Data Options'!$R$1:$S$100,2,FALSE), " ")</f>
        <v xml:space="preserve"> </v>
      </c>
      <c r="AZ147" s="32"/>
      <c r="BA147" s="32"/>
      <c r="BB147" s="53"/>
      <c r="BC147" s="21" t="str">
        <f>IFERROR(VLOOKUP(January[[#This Row],[Drug Name8]],'Data Options'!$R$1:$S$100,2,FALSE), " ")</f>
        <v xml:space="preserve"> </v>
      </c>
      <c r="BD147" s="32"/>
      <c r="BE147" s="32"/>
      <c r="BF147" s="53"/>
      <c r="BG147" s="21" t="str">
        <f>IFERROR(VLOOKUP(January[[#This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21" t="str">
        <f>IFERROR(VLOOKUP(January[[#This Row],[Drug Name]],'Data Options'!$R$1:$S$100,2,FALSE), " ")</f>
        <v xml:space="preserve"> </v>
      </c>
      <c r="R148" s="32"/>
      <c r="S148" s="32"/>
      <c r="T148" s="53"/>
      <c r="U148" s="21" t="str">
        <f>IFERROR(VLOOKUP(January[[#This Row],[Drug Name2]],'Data Options'!$R$1:$S$100,2,FALSE), " ")</f>
        <v xml:space="preserve"> </v>
      </c>
      <c r="V148" s="32"/>
      <c r="W148" s="32"/>
      <c r="X148" s="53"/>
      <c r="Y148" s="21" t="str">
        <f>IFERROR(VLOOKUP(January[[#This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21" t="str">
        <f>IFERROR(VLOOKUP(January[[#This Row],[Drug Name4]],'Data Options'!$R$1:$S$100,2,FALSE), " ")</f>
        <v xml:space="preserve"> </v>
      </c>
      <c r="AI148" s="32"/>
      <c r="AJ148" s="32"/>
      <c r="AK148" s="53"/>
      <c r="AL148" s="21" t="str">
        <f>IFERROR(VLOOKUP(January[[#This Row],[Drug Name5]],'Data Options'!$R$1:$S$100,2,FALSE), " ")</f>
        <v xml:space="preserve"> </v>
      </c>
      <c r="AM148" s="32"/>
      <c r="AN148" s="32"/>
      <c r="AO148" s="53"/>
      <c r="AP148" s="21" t="str">
        <f>IFERROR(VLOOKUP(January[[#This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21" t="str">
        <f>IFERROR(VLOOKUP(January[[#This Row],[Drug Name7]],'Data Options'!$R$1:$S$100,2,FALSE), " ")</f>
        <v xml:space="preserve"> </v>
      </c>
      <c r="AZ148" s="32"/>
      <c r="BA148" s="32"/>
      <c r="BB148" s="53"/>
      <c r="BC148" s="21" t="str">
        <f>IFERROR(VLOOKUP(January[[#This Row],[Drug Name8]],'Data Options'!$R$1:$S$100,2,FALSE), " ")</f>
        <v xml:space="preserve"> </v>
      </c>
      <c r="BD148" s="32"/>
      <c r="BE148" s="32"/>
      <c r="BF148" s="53"/>
      <c r="BG148" s="21" t="str">
        <f>IFERROR(VLOOKUP(January[[#This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21" t="str">
        <f>IFERROR(VLOOKUP(January[[#This Row],[Drug Name]],'Data Options'!$R$1:$S$100,2,FALSE), " ")</f>
        <v xml:space="preserve"> </v>
      </c>
      <c r="R149" s="32"/>
      <c r="S149" s="32"/>
      <c r="T149" s="53"/>
      <c r="U149" s="21" t="str">
        <f>IFERROR(VLOOKUP(January[[#This Row],[Drug Name2]],'Data Options'!$R$1:$S$100,2,FALSE), " ")</f>
        <v xml:space="preserve"> </v>
      </c>
      <c r="V149" s="32"/>
      <c r="W149" s="32"/>
      <c r="X149" s="53"/>
      <c r="Y149" s="21" t="str">
        <f>IFERROR(VLOOKUP(January[[#This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21" t="str">
        <f>IFERROR(VLOOKUP(January[[#This Row],[Drug Name4]],'Data Options'!$R$1:$S$100,2,FALSE), " ")</f>
        <v xml:space="preserve"> </v>
      </c>
      <c r="AI149" s="32"/>
      <c r="AJ149" s="32"/>
      <c r="AK149" s="53"/>
      <c r="AL149" s="21" t="str">
        <f>IFERROR(VLOOKUP(January[[#This Row],[Drug Name5]],'Data Options'!$R$1:$S$100,2,FALSE), " ")</f>
        <v xml:space="preserve"> </v>
      </c>
      <c r="AM149" s="32"/>
      <c r="AN149" s="32"/>
      <c r="AO149" s="53"/>
      <c r="AP149" s="21" t="str">
        <f>IFERROR(VLOOKUP(January[[#This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21" t="str">
        <f>IFERROR(VLOOKUP(January[[#This Row],[Drug Name7]],'Data Options'!$R$1:$S$100,2,FALSE), " ")</f>
        <v xml:space="preserve"> </v>
      </c>
      <c r="AZ149" s="32"/>
      <c r="BA149" s="32"/>
      <c r="BB149" s="53"/>
      <c r="BC149" s="21" t="str">
        <f>IFERROR(VLOOKUP(January[[#This Row],[Drug Name8]],'Data Options'!$R$1:$S$100,2,FALSE), " ")</f>
        <v xml:space="preserve"> </v>
      </c>
      <c r="BD149" s="32"/>
      <c r="BE149" s="32"/>
      <c r="BF149" s="53"/>
      <c r="BG149" s="21" t="str">
        <f>IFERROR(VLOOKUP(January[[#This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21" t="str">
        <f>IFERROR(VLOOKUP(January[[#This Row],[Drug Name]],'Data Options'!$R$1:$S$100,2,FALSE), " ")</f>
        <v xml:space="preserve"> </v>
      </c>
      <c r="R150" s="32"/>
      <c r="S150" s="32"/>
      <c r="T150" s="53"/>
      <c r="U150" s="21" t="str">
        <f>IFERROR(VLOOKUP(January[[#This Row],[Drug Name2]],'Data Options'!$R$1:$S$100,2,FALSE), " ")</f>
        <v xml:space="preserve"> </v>
      </c>
      <c r="V150" s="32"/>
      <c r="W150" s="32"/>
      <c r="X150" s="53"/>
      <c r="Y150" s="21" t="str">
        <f>IFERROR(VLOOKUP(January[[#This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21" t="str">
        <f>IFERROR(VLOOKUP(January[[#This Row],[Drug Name4]],'Data Options'!$R$1:$S$100,2,FALSE), " ")</f>
        <v xml:space="preserve"> </v>
      </c>
      <c r="AI150" s="32"/>
      <c r="AJ150" s="32"/>
      <c r="AK150" s="53"/>
      <c r="AL150" s="21" t="str">
        <f>IFERROR(VLOOKUP(January[[#This Row],[Drug Name5]],'Data Options'!$R$1:$S$100,2,FALSE), " ")</f>
        <v xml:space="preserve"> </v>
      </c>
      <c r="AM150" s="32"/>
      <c r="AN150" s="32"/>
      <c r="AO150" s="53"/>
      <c r="AP150" s="21" t="str">
        <f>IFERROR(VLOOKUP(January[[#This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21" t="str">
        <f>IFERROR(VLOOKUP(January[[#This Row],[Drug Name7]],'Data Options'!$R$1:$S$100,2,FALSE), " ")</f>
        <v xml:space="preserve"> </v>
      </c>
      <c r="AZ150" s="32"/>
      <c r="BA150" s="32"/>
      <c r="BB150" s="53"/>
      <c r="BC150" s="21" t="str">
        <f>IFERROR(VLOOKUP(January[[#This Row],[Drug Name8]],'Data Options'!$R$1:$S$100,2,FALSE), " ")</f>
        <v xml:space="preserve"> </v>
      </c>
      <c r="BD150" s="32"/>
      <c r="BE150" s="32"/>
      <c r="BF150" s="53"/>
      <c r="BG150" s="21" t="str">
        <f>IFERROR(VLOOKUP(January[[#This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21" t="str">
        <f>IFERROR(VLOOKUP(January[[#This Row],[Drug Name]],'Data Options'!$R$1:$S$100,2,FALSE), " ")</f>
        <v xml:space="preserve"> </v>
      </c>
      <c r="R151" s="32"/>
      <c r="S151" s="32"/>
      <c r="T151" s="53"/>
      <c r="U151" s="21" t="str">
        <f>IFERROR(VLOOKUP(January[[#This Row],[Drug Name2]],'Data Options'!$R$1:$S$100,2,FALSE), " ")</f>
        <v xml:space="preserve"> </v>
      </c>
      <c r="V151" s="32"/>
      <c r="W151" s="32"/>
      <c r="X151" s="53"/>
      <c r="Y151" s="21" t="str">
        <f>IFERROR(VLOOKUP(January[[#This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21" t="str">
        <f>IFERROR(VLOOKUP(January[[#This Row],[Drug Name4]],'Data Options'!$R$1:$S$100,2,FALSE), " ")</f>
        <v xml:space="preserve"> </v>
      </c>
      <c r="AI151" s="32"/>
      <c r="AJ151" s="32"/>
      <c r="AK151" s="53"/>
      <c r="AL151" s="21" t="str">
        <f>IFERROR(VLOOKUP(January[[#This Row],[Drug Name5]],'Data Options'!$R$1:$S$100,2,FALSE), " ")</f>
        <v xml:space="preserve"> </v>
      </c>
      <c r="AM151" s="32"/>
      <c r="AN151" s="32"/>
      <c r="AO151" s="53"/>
      <c r="AP151" s="21" t="str">
        <f>IFERROR(VLOOKUP(January[[#This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21" t="str">
        <f>IFERROR(VLOOKUP(January[[#This Row],[Drug Name7]],'Data Options'!$R$1:$S$100,2,FALSE), " ")</f>
        <v xml:space="preserve"> </v>
      </c>
      <c r="AZ151" s="32"/>
      <c r="BA151" s="32"/>
      <c r="BB151" s="53"/>
      <c r="BC151" s="21" t="str">
        <f>IFERROR(VLOOKUP(January[[#This Row],[Drug Name8]],'Data Options'!$R$1:$S$100,2,FALSE), " ")</f>
        <v xml:space="preserve"> </v>
      </c>
      <c r="BD151" s="32"/>
      <c r="BE151" s="32"/>
      <c r="BF151" s="53"/>
      <c r="BG151" s="21" t="str">
        <f>IFERROR(VLOOKUP(January[[#This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21" t="str">
        <f>IFERROR(VLOOKUP(January[[#This Row],[Drug Name]],'Data Options'!$R$1:$S$100,2,FALSE), " ")</f>
        <v xml:space="preserve"> </v>
      </c>
      <c r="R152" s="32"/>
      <c r="S152" s="32"/>
      <c r="T152" s="53"/>
      <c r="U152" s="21" t="str">
        <f>IFERROR(VLOOKUP(January[[#This Row],[Drug Name2]],'Data Options'!$R$1:$S$100,2,FALSE), " ")</f>
        <v xml:space="preserve"> </v>
      </c>
      <c r="V152" s="32"/>
      <c r="W152" s="32"/>
      <c r="X152" s="53"/>
      <c r="Y152" s="21" t="str">
        <f>IFERROR(VLOOKUP(January[[#This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21" t="str">
        <f>IFERROR(VLOOKUP(January[[#This Row],[Drug Name4]],'Data Options'!$R$1:$S$100,2,FALSE), " ")</f>
        <v xml:space="preserve"> </v>
      </c>
      <c r="AI152" s="32"/>
      <c r="AJ152" s="32"/>
      <c r="AK152" s="53"/>
      <c r="AL152" s="21" t="str">
        <f>IFERROR(VLOOKUP(January[[#This Row],[Drug Name5]],'Data Options'!$R$1:$S$100,2,FALSE), " ")</f>
        <v xml:space="preserve"> </v>
      </c>
      <c r="AM152" s="32"/>
      <c r="AN152" s="32"/>
      <c r="AO152" s="53"/>
      <c r="AP152" s="21" t="str">
        <f>IFERROR(VLOOKUP(January[[#This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21" t="str">
        <f>IFERROR(VLOOKUP(January[[#This Row],[Drug Name7]],'Data Options'!$R$1:$S$100,2,FALSE), " ")</f>
        <v xml:space="preserve"> </v>
      </c>
      <c r="AZ152" s="32"/>
      <c r="BA152" s="32"/>
      <c r="BB152" s="53"/>
      <c r="BC152" s="21" t="str">
        <f>IFERROR(VLOOKUP(January[[#This Row],[Drug Name8]],'Data Options'!$R$1:$S$100,2,FALSE), " ")</f>
        <v xml:space="preserve"> </v>
      </c>
      <c r="BD152" s="32"/>
      <c r="BE152" s="32"/>
      <c r="BF152" s="53"/>
      <c r="BG152" s="21" t="str">
        <f>IFERROR(VLOOKUP(January[[#This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21" t="str">
        <f>IFERROR(VLOOKUP(January[[#This Row],[Drug Name]],'Data Options'!$R$1:$S$100,2,FALSE), " ")</f>
        <v xml:space="preserve"> </v>
      </c>
      <c r="R153" s="32"/>
      <c r="S153" s="32"/>
      <c r="T153" s="53"/>
      <c r="U153" s="21" t="str">
        <f>IFERROR(VLOOKUP(January[[#This Row],[Drug Name2]],'Data Options'!$R$1:$S$100,2,FALSE), " ")</f>
        <v xml:space="preserve"> </v>
      </c>
      <c r="V153" s="32"/>
      <c r="W153" s="32"/>
      <c r="X153" s="53"/>
      <c r="Y153" s="21" t="str">
        <f>IFERROR(VLOOKUP(January[[#This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21" t="str">
        <f>IFERROR(VLOOKUP(January[[#This Row],[Drug Name4]],'Data Options'!$R$1:$S$100,2,FALSE), " ")</f>
        <v xml:space="preserve"> </v>
      </c>
      <c r="AI153" s="32"/>
      <c r="AJ153" s="32"/>
      <c r="AK153" s="53"/>
      <c r="AL153" s="21" t="str">
        <f>IFERROR(VLOOKUP(January[[#This Row],[Drug Name5]],'Data Options'!$R$1:$S$100,2,FALSE), " ")</f>
        <v xml:space="preserve"> </v>
      </c>
      <c r="AM153" s="32"/>
      <c r="AN153" s="32"/>
      <c r="AO153" s="53"/>
      <c r="AP153" s="21" t="str">
        <f>IFERROR(VLOOKUP(January[[#This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21" t="str">
        <f>IFERROR(VLOOKUP(January[[#This Row],[Drug Name7]],'Data Options'!$R$1:$S$100,2,FALSE), " ")</f>
        <v xml:space="preserve"> </v>
      </c>
      <c r="AZ153" s="32"/>
      <c r="BA153" s="32"/>
      <c r="BB153" s="53"/>
      <c r="BC153" s="21" t="str">
        <f>IFERROR(VLOOKUP(January[[#This Row],[Drug Name8]],'Data Options'!$R$1:$S$100,2,FALSE), " ")</f>
        <v xml:space="preserve"> </v>
      </c>
      <c r="BD153" s="32"/>
      <c r="BE153" s="32"/>
      <c r="BF153" s="53"/>
      <c r="BG153" s="21" t="str">
        <f>IFERROR(VLOOKUP(January[[#This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21" t="str">
        <f>IFERROR(VLOOKUP(January[[#This Row],[Drug Name]],'Data Options'!$R$1:$S$100,2,FALSE), " ")</f>
        <v xml:space="preserve"> </v>
      </c>
      <c r="R154" s="32"/>
      <c r="S154" s="32"/>
      <c r="T154" s="53"/>
      <c r="U154" s="21" t="str">
        <f>IFERROR(VLOOKUP(January[[#This Row],[Drug Name2]],'Data Options'!$R$1:$S$100,2,FALSE), " ")</f>
        <v xml:space="preserve"> </v>
      </c>
      <c r="V154" s="32"/>
      <c r="W154" s="32"/>
      <c r="X154" s="53"/>
      <c r="Y154" s="21" t="str">
        <f>IFERROR(VLOOKUP(January[[#This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21" t="str">
        <f>IFERROR(VLOOKUP(January[[#This Row],[Drug Name4]],'Data Options'!$R$1:$S$100,2,FALSE), " ")</f>
        <v xml:space="preserve"> </v>
      </c>
      <c r="AI154" s="32"/>
      <c r="AJ154" s="32"/>
      <c r="AK154" s="53"/>
      <c r="AL154" s="21" t="str">
        <f>IFERROR(VLOOKUP(January[[#This Row],[Drug Name5]],'Data Options'!$R$1:$S$100,2,FALSE), " ")</f>
        <v xml:space="preserve"> </v>
      </c>
      <c r="AM154" s="32"/>
      <c r="AN154" s="32"/>
      <c r="AO154" s="53"/>
      <c r="AP154" s="21" t="str">
        <f>IFERROR(VLOOKUP(January[[#This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21" t="str">
        <f>IFERROR(VLOOKUP(January[[#This Row],[Drug Name7]],'Data Options'!$R$1:$S$100,2,FALSE), " ")</f>
        <v xml:space="preserve"> </v>
      </c>
      <c r="AZ154" s="32"/>
      <c r="BA154" s="32"/>
      <c r="BB154" s="53"/>
      <c r="BC154" s="21" t="str">
        <f>IFERROR(VLOOKUP(January[[#This Row],[Drug Name8]],'Data Options'!$R$1:$S$100,2,FALSE), " ")</f>
        <v xml:space="preserve"> </v>
      </c>
      <c r="BD154" s="32"/>
      <c r="BE154" s="32"/>
      <c r="BF154" s="53"/>
      <c r="BG154" s="21" t="str">
        <f>IFERROR(VLOOKUP(January[[#This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21" t="str">
        <f>IFERROR(VLOOKUP(January[[#This Row],[Drug Name]],'Data Options'!$R$1:$S$100,2,FALSE), " ")</f>
        <v xml:space="preserve"> </v>
      </c>
      <c r="R155" s="32"/>
      <c r="S155" s="32"/>
      <c r="T155" s="53"/>
      <c r="U155" s="21" t="str">
        <f>IFERROR(VLOOKUP(January[[#This Row],[Drug Name2]],'Data Options'!$R$1:$S$100,2,FALSE), " ")</f>
        <v xml:space="preserve"> </v>
      </c>
      <c r="V155" s="32"/>
      <c r="W155" s="32"/>
      <c r="X155" s="53"/>
      <c r="Y155" s="21" t="str">
        <f>IFERROR(VLOOKUP(January[[#This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21" t="str">
        <f>IFERROR(VLOOKUP(January[[#This Row],[Drug Name4]],'Data Options'!$R$1:$S$100,2,FALSE), " ")</f>
        <v xml:space="preserve"> </v>
      </c>
      <c r="AI155" s="32"/>
      <c r="AJ155" s="32"/>
      <c r="AK155" s="53"/>
      <c r="AL155" s="21" t="str">
        <f>IFERROR(VLOOKUP(January[[#This Row],[Drug Name5]],'Data Options'!$R$1:$S$100,2,FALSE), " ")</f>
        <v xml:space="preserve"> </v>
      </c>
      <c r="AM155" s="32"/>
      <c r="AN155" s="32"/>
      <c r="AO155" s="53"/>
      <c r="AP155" s="21" t="str">
        <f>IFERROR(VLOOKUP(January[[#This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21" t="str">
        <f>IFERROR(VLOOKUP(January[[#This Row],[Drug Name7]],'Data Options'!$R$1:$S$100,2,FALSE), " ")</f>
        <v xml:space="preserve"> </v>
      </c>
      <c r="AZ155" s="32"/>
      <c r="BA155" s="32"/>
      <c r="BB155" s="53"/>
      <c r="BC155" s="21" t="str">
        <f>IFERROR(VLOOKUP(January[[#This Row],[Drug Name8]],'Data Options'!$R$1:$S$100,2,FALSE), " ")</f>
        <v xml:space="preserve"> </v>
      </c>
      <c r="BD155" s="32"/>
      <c r="BE155" s="32"/>
      <c r="BF155" s="53"/>
      <c r="BG155" s="21" t="str">
        <f>IFERROR(VLOOKUP(January[[#This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21" t="str">
        <f>IFERROR(VLOOKUP(January[[#This Row],[Drug Name]],'Data Options'!$R$1:$S$100,2,FALSE), " ")</f>
        <v xml:space="preserve"> </v>
      </c>
      <c r="R156" s="32"/>
      <c r="S156" s="32"/>
      <c r="T156" s="53"/>
      <c r="U156" s="21" t="str">
        <f>IFERROR(VLOOKUP(January[[#This Row],[Drug Name2]],'Data Options'!$R$1:$S$100,2,FALSE), " ")</f>
        <v xml:space="preserve"> </v>
      </c>
      <c r="V156" s="32"/>
      <c r="W156" s="32"/>
      <c r="X156" s="53"/>
      <c r="Y156" s="21" t="str">
        <f>IFERROR(VLOOKUP(January[[#This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21" t="str">
        <f>IFERROR(VLOOKUP(January[[#This Row],[Drug Name4]],'Data Options'!$R$1:$S$100,2,FALSE), " ")</f>
        <v xml:space="preserve"> </v>
      </c>
      <c r="AI156" s="32"/>
      <c r="AJ156" s="32"/>
      <c r="AK156" s="53"/>
      <c r="AL156" s="21" t="str">
        <f>IFERROR(VLOOKUP(January[[#This Row],[Drug Name5]],'Data Options'!$R$1:$S$100,2,FALSE), " ")</f>
        <v xml:space="preserve"> </v>
      </c>
      <c r="AM156" s="32"/>
      <c r="AN156" s="32"/>
      <c r="AO156" s="53"/>
      <c r="AP156" s="21" t="str">
        <f>IFERROR(VLOOKUP(January[[#This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21" t="str">
        <f>IFERROR(VLOOKUP(January[[#This Row],[Drug Name7]],'Data Options'!$R$1:$S$100,2,FALSE), " ")</f>
        <v xml:space="preserve"> </v>
      </c>
      <c r="AZ156" s="32"/>
      <c r="BA156" s="32"/>
      <c r="BB156" s="53"/>
      <c r="BC156" s="21" t="str">
        <f>IFERROR(VLOOKUP(January[[#This Row],[Drug Name8]],'Data Options'!$R$1:$S$100,2,FALSE), " ")</f>
        <v xml:space="preserve"> </v>
      </c>
      <c r="BD156" s="32"/>
      <c r="BE156" s="32"/>
      <c r="BF156" s="53"/>
      <c r="BG156" s="21" t="str">
        <f>IFERROR(VLOOKUP(January[[#This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21" t="str">
        <f>IFERROR(VLOOKUP(January[[#This Row],[Drug Name]],'Data Options'!$R$1:$S$100,2,FALSE), " ")</f>
        <v xml:space="preserve"> </v>
      </c>
      <c r="R157" s="32"/>
      <c r="S157" s="32"/>
      <c r="T157" s="53"/>
      <c r="U157" s="21" t="str">
        <f>IFERROR(VLOOKUP(January[[#This Row],[Drug Name2]],'Data Options'!$R$1:$S$100,2,FALSE), " ")</f>
        <v xml:space="preserve"> </v>
      </c>
      <c r="V157" s="32"/>
      <c r="W157" s="32"/>
      <c r="X157" s="53"/>
      <c r="Y157" s="21" t="str">
        <f>IFERROR(VLOOKUP(January[[#This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21" t="str">
        <f>IFERROR(VLOOKUP(January[[#This Row],[Drug Name4]],'Data Options'!$R$1:$S$100,2,FALSE), " ")</f>
        <v xml:space="preserve"> </v>
      </c>
      <c r="AI157" s="32"/>
      <c r="AJ157" s="32"/>
      <c r="AK157" s="53"/>
      <c r="AL157" s="21" t="str">
        <f>IFERROR(VLOOKUP(January[[#This Row],[Drug Name5]],'Data Options'!$R$1:$S$100,2,FALSE), " ")</f>
        <v xml:space="preserve"> </v>
      </c>
      <c r="AM157" s="32"/>
      <c r="AN157" s="32"/>
      <c r="AO157" s="53"/>
      <c r="AP157" s="21" t="str">
        <f>IFERROR(VLOOKUP(January[[#This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21" t="str">
        <f>IFERROR(VLOOKUP(January[[#This Row],[Drug Name7]],'Data Options'!$R$1:$S$100,2,FALSE), " ")</f>
        <v xml:space="preserve"> </v>
      </c>
      <c r="AZ157" s="32"/>
      <c r="BA157" s="32"/>
      <c r="BB157" s="53"/>
      <c r="BC157" s="21" t="str">
        <f>IFERROR(VLOOKUP(January[[#This Row],[Drug Name8]],'Data Options'!$R$1:$S$100,2,FALSE), " ")</f>
        <v xml:space="preserve"> </v>
      </c>
      <c r="BD157" s="32"/>
      <c r="BE157" s="32"/>
      <c r="BF157" s="53"/>
      <c r="BG157" s="21" t="str">
        <f>IFERROR(VLOOKUP(January[[#This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21" t="str">
        <f>IFERROR(VLOOKUP(January[[#This Row],[Drug Name]],'Data Options'!$R$1:$S$100,2,FALSE), " ")</f>
        <v xml:space="preserve"> </v>
      </c>
      <c r="R158" s="32"/>
      <c r="S158" s="32"/>
      <c r="T158" s="53"/>
      <c r="U158" s="21" t="str">
        <f>IFERROR(VLOOKUP(January[[#This Row],[Drug Name2]],'Data Options'!$R$1:$S$100,2,FALSE), " ")</f>
        <v xml:space="preserve"> </v>
      </c>
      <c r="V158" s="32"/>
      <c r="W158" s="32"/>
      <c r="X158" s="53"/>
      <c r="Y158" s="21" t="str">
        <f>IFERROR(VLOOKUP(January[[#This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21" t="str">
        <f>IFERROR(VLOOKUP(January[[#This Row],[Drug Name4]],'Data Options'!$R$1:$S$100,2,FALSE), " ")</f>
        <v xml:space="preserve"> </v>
      </c>
      <c r="AI158" s="32"/>
      <c r="AJ158" s="32"/>
      <c r="AK158" s="53"/>
      <c r="AL158" s="21" t="str">
        <f>IFERROR(VLOOKUP(January[[#This Row],[Drug Name5]],'Data Options'!$R$1:$S$100,2,FALSE), " ")</f>
        <v xml:space="preserve"> </v>
      </c>
      <c r="AM158" s="32"/>
      <c r="AN158" s="32"/>
      <c r="AO158" s="53"/>
      <c r="AP158" s="21" t="str">
        <f>IFERROR(VLOOKUP(January[[#This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21" t="str">
        <f>IFERROR(VLOOKUP(January[[#This Row],[Drug Name7]],'Data Options'!$R$1:$S$100,2,FALSE), " ")</f>
        <v xml:space="preserve"> </v>
      </c>
      <c r="AZ158" s="32"/>
      <c r="BA158" s="32"/>
      <c r="BB158" s="53"/>
      <c r="BC158" s="21" t="str">
        <f>IFERROR(VLOOKUP(January[[#This Row],[Drug Name8]],'Data Options'!$R$1:$S$100,2,FALSE), " ")</f>
        <v xml:space="preserve"> </v>
      </c>
      <c r="BD158" s="32"/>
      <c r="BE158" s="32"/>
      <c r="BF158" s="53"/>
      <c r="BG158" s="21" t="str">
        <f>IFERROR(VLOOKUP(January[[#This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21" t="str">
        <f>IFERROR(VLOOKUP(January[[#This Row],[Drug Name]],'Data Options'!$R$1:$S$100,2,FALSE), " ")</f>
        <v xml:space="preserve"> </v>
      </c>
      <c r="R159" s="32"/>
      <c r="S159" s="32"/>
      <c r="T159" s="53"/>
      <c r="U159" s="21" t="str">
        <f>IFERROR(VLOOKUP(January[[#This Row],[Drug Name2]],'Data Options'!$R$1:$S$100,2,FALSE), " ")</f>
        <v xml:space="preserve"> </v>
      </c>
      <c r="V159" s="32"/>
      <c r="W159" s="32"/>
      <c r="X159" s="53"/>
      <c r="Y159" s="21" t="str">
        <f>IFERROR(VLOOKUP(January[[#This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21" t="str">
        <f>IFERROR(VLOOKUP(January[[#This Row],[Drug Name4]],'Data Options'!$R$1:$S$100,2,FALSE), " ")</f>
        <v xml:space="preserve"> </v>
      </c>
      <c r="AI159" s="32"/>
      <c r="AJ159" s="32"/>
      <c r="AK159" s="53"/>
      <c r="AL159" s="21" t="str">
        <f>IFERROR(VLOOKUP(January[[#This Row],[Drug Name5]],'Data Options'!$R$1:$S$100,2,FALSE), " ")</f>
        <v xml:space="preserve"> </v>
      </c>
      <c r="AM159" s="32"/>
      <c r="AN159" s="32"/>
      <c r="AO159" s="53"/>
      <c r="AP159" s="21" t="str">
        <f>IFERROR(VLOOKUP(January[[#This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21" t="str">
        <f>IFERROR(VLOOKUP(January[[#This Row],[Drug Name7]],'Data Options'!$R$1:$S$100,2,FALSE), " ")</f>
        <v xml:space="preserve"> </v>
      </c>
      <c r="AZ159" s="32"/>
      <c r="BA159" s="32"/>
      <c r="BB159" s="53"/>
      <c r="BC159" s="21" t="str">
        <f>IFERROR(VLOOKUP(January[[#This Row],[Drug Name8]],'Data Options'!$R$1:$S$100,2,FALSE), " ")</f>
        <v xml:space="preserve"> </v>
      </c>
      <c r="BD159" s="32"/>
      <c r="BE159" s="32"/>
      <c r="BF159" s="53"/>
      <c r="BG159" s="21" t="str">
        <f>IFERROR(VLOOKUP(January[[#This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21" t="str">
        <f>IFERROR(VLOOKUP(January[[#This Row],[Drug Name]],'Data Options'!$R$1:$S$100,2,FALSE), " ")</f>
        <v xml:space="preserve"> </v>
      </c>
      <c r="R160" s="32"/>
      <c r="S160" s="32"/>
      <c r="T160" s="53"/>
      <c r="U160" s="21" t="str">
        <f>IFERROR(VLOOKUP(January[[#This Row],[Drug Name2]],'Data Options'!$R$1:$S$100,2,FALSE), " ")</f>
        <v xml:space="preserve"> </v>
      </c>
      <c r="V160" s="32"/>
      <c r="W160" s="32"/>
      <c r="X160" s="53"/>
      <c r="Y160" s="21" t="str">
        <f>IFERROR(VLOOKUP(January[[#This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21" t="str">
        <f>IFERROR(VLOOKUP(January[[#This Row],[Drug Name4]],'Data Options'!$R$1:$S$100,2,FALSE), " ")</f>
        <v xml:space="preserve"> </v>
      </c>
      <c r="AI160" s="32"/>
      <c r="AJ160" s="32"/>
      <c r="AK160" s="53"/>
      <c r="AL160" s="21" t="str">
        <f>IFERROR(VLOOKUP(January[[#This Row],[Drug Name5]],'Data Options'!$R$1:$S$100,2,FALSE), " ")</f>
        <v xml:space="preserve"> </v>
      </c>
      <c r="AM160" s="32"/>
      <c r="AN160" s="32"/>
      <c r="AO160" s="53"/>
      <c r="AP160" s="21" t="str">
        <f>IFERROR(VLOOKUP(January[[#This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21" t="str">
        <f>IFERROR(VLOOKUP(January[[#This Row],[Drug Name7]],'Data Options'!$R$1:$S$100,2,FALSE), " ")</f>
        <v xml:space="preserve"> </v>
      </c>
      <c r="AZ160" s="32"/>
      <c r="BA160" s="32"/>
      <c r="BB160" s="53"/>
      <c r="BC160" s="21" t="str">
        <f>IFERROR(VLOOKUP(January[[#This Row],[Drug Name8]],'Data Options'!$R$1:$S$100,2,FALSE), " ")</f>
        <v xml:space="preserve"> </v>
      </c>
      <c r="BD160" s="32"/>
      <c r="BE160" s="32"/>
      <c r="BF160" s="53"/>
      <c r="BG160" s="21" t="str">
        <f>IFERROR(VLOOKUP(January[[#This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21" t="str">
        <f>IFERROR(VLOOKUP(January[[#This Row],[Drug Name]],'Data Options'!$R$1:$S$100,2,FALSE), " ")</f>
        <v xml:space="preserve"> </v>
      </c>
      <c r="R161" s="32"/>
      <c r="S161" s="32"/>
      <c r="T161" s="53"/>
      <c r="U161" s="21" t="str">
        <f>IFERROR(VLOOKUP(January[[#This Row],[Drug Name2]],'Data Options'!$R$1:$S$100,2,FALSE), " ")</f>
        <v xml:space="preserve"> </v>
      </c>
      <c r="V161" s="32"/>
      <c r="W161" s="32"/>
      <c r="X161" s="53"/>
      <c r="Y161" s="21" t="str">
        <f>IFERROR(VLOOKUP(January[[#This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21" t="str">
        <f>IFERROR(VLOOKUP(January[[#This Row],[Drug Name4]],'Data Options'!$R$1:$S$100,2,FALSE), " ")</f>
        <v xml:space="preserve"> </v>
      </c>
      <c r="AI161" s="32"/>
      <c r="AJ161" s="32"/>
      <c r="AK161" s="53"/>
      <c r="AL161" s="21" t="str">
        <f>IFERROR(VLOOKUP(January[[#This Row],[Drug Name5]],'Data Options'!$R$1:$S$100,2,FALSE), " ")</f>
        <v xml:space="preserve"> </v>
      </c>
      <c r="AM161" s="32"/>
      <c r="AN161" s="32"/>
      <c r="AO161" s="53"/>
      <c r="AP161" s="21" t="str">
        <f>IFERROR(VLOOKUP(January[[#This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21" t="str">
        <f>IFERROR(VLOOKUP(January[[#This Row],[Drug Name7]],'Data Options'!$R$1:$S$100,2,FALSE), " ")</f>
        <v xml:space="preserve"> </v>
      </c>
      <c r="AZ161" s="32"/>
      <c r="BA161" s="32"/>
      <c r="BB161" s="53"/>
      <c r="BC161" s="21" t="str">
        <f>IFERROR(VLOOKUP(January[[#This Row],[Drug Name8]],'Data Options'!$R$1:$S$100,2,FALSE), " ")</f>
        <v xml:space="preserve"> </v>
      </c>
      <c r="BD161" s="32"/>
      <c r="BE161" s="32"/>
      <c r="BF161" s="53"/>
      <c r="BG161" s="21" t="str">
        <f>IFERROR(VLOOKUP(January[[#This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21" t="str">
        <f>IFERROR(VLOOKUP(January[[#This Row],[Drug Name]],'Data Options'!$R$1:$S$100,2,FALSE), " ")</f>
        <v xml:space="preserve"> </v>
      </c>
      <c r="R162" s="32"/>
      <c r="S162" s="32"/>
      <c r="T162" s="53"/>
      <c r="U162" s="21" t="str">
        <f>IFERROR(VLOOKUP(January[[#This Row],[Drug Name2]],'Data Options'!$R$1:$S$100,2,FALSE), " ")</f>
        <v xml:space="preserve"> </v>
      </c>
      <c r="V162" s="32"/>
      <c r="W162" s="32"/>
      <c r="X162" s="53"/>
      <c r="Y162" s="21" t="str">
        <f>IFERROR(VLOOKUP(January[[#This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21" t="str">
        <f>IFERROR(VLOOKUP(January[[#This Row],[Drug Name4]],'Data Options'!$R$1:$S$100,2,FALSE), " ")</f>
        <v xml:space="preserve"> </v>
      </c>
      <c r="AI162" s="32"/>
      <c r="AJ162" s="32"/>
      <c r="AK162" s="53"/>
      <c r="AL162" s="21" t="str">
        <f>IFERROR(VLOOKUP(January[[#This Row],[Drug Name5]],'Data Options'!$R$1:$S$100,2,FALSE), " ")</f>
        <v xml:space="preserve"> </v>
      </c>
      <c r="AM162" s="32"/>
      <c r="AN162" s="32"/>
      <c r="AO162" s="53"/>
      <c r="AP162" s="21" t="str">
        <f>IFERROR(VLOOKUP(January[[#This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21" t="str">
        <f>IFERROR(VLOOKUP(January[[#This Row],[Drug Name7]],'Data Options'!$R$1:$S$100,2,FALSE), " ")</f>
        <v xml:space="preserve"> </v>
      </c>
      <c r="AZ162" s="32"/>
      <c r="BA162" s="32"/>
      <c r="BB162" s="53"/>
      <c r="BC162" s="21" t="str">
        <f>IFERROR(VLOOKUP(January[[#This Row],[Drug Name8]],'Data Options'!$R$1:$S$100,2,FALSE), " ")</f>
        <v xml:space="preserve"> </v>
      </c>
      <c r="BD162" s="32"/>
      <c r="BE162" s="32"/>
      <c r="BF162" s="53"/>
      <c r="BG162" s="21" t="str">
        <f>IFERROR(VLOOKUP(January[[#This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21" t="str">
        <f>IFERROR(VLOOKUP(January[[#This Row],[Drug Name]],'Data Options'!$R$1:$S$100,2,FALSE), " ")</f>
        <v xml:space="preserve"> </v>
      </c>
      <c r="R163" s="32"/>
      <c r="S163" s="32"/>
      <c r="T163" s="53"/>
      <c r="U163" s="21" t="str">
        <f>IFERROR(VLOOKUP(January[[#This Row],[Drug Name2]],'Data Options'!$R$1:$S$100,2,FALSE), " ")</f>
        <v xml:space="preserve"> </v>
      </c>
      <c r="V163" s="32"/>
      <c r="W163" s="32"/>
      <c r="X163" s="53"/>
      <c r="Y163" s="21" t="str">
        <f>IFERROR(VLOOKUP(January[[#This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21" t="str">
        <f>IFERROR(VLOOKUP(January[[#This Row],[Drug Name4]],'Data Options'!$R$1:$S$100,2,FALSE), " ")</f>
        <v xml:space="preserve"> </v>
      </c>
      <c r="AI163" s="32"/>
      <c r="AJ163" s="32"/>
      <c r="AK163" s="53"/>
      <c r="AL163" s="21" t="str">
        <f>IFERROR(VLOOKUP(January[[#This Row],[Drug Name5]],'Data Options'!$R$1:$S$100,2,FALSE), " ")</f>
        <v xml:space="preserve"> </v>
      </c>
      <c r="AM163" s="32"/>
      <c r="AN163" s="32"/>
      <c r="AO163" s="53"/>
      <c r="AP163" s="21" t="str">
        <f>IFERROR(VLOOKUP(January[[#This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21" t="str">
        <f>IFERROR(VLOOKUP(January[[#This Row],[Drug Name7]],'Data Options'!$R$1:$S$100,2,FALSE), " ")</f>
        <v xml:space="preserve"> </v>
      </c>
      <c r="AZ163" s="32"/>
      <c r="BA163" s="32"/>
      <c r="BB163" s="53"/>
      <c r="BC163" s="21" t="str">
        <f>IFERROR(VLOOKUP(January[[#This Row],[Drug Name8]],'Data Options'!$R$1:$S$100,2,FALSE), " ")</f>
        <v xml:space="preserve"> </v>
      </c>
      <c r="BD163" s="32"/>
      <c r="BE163" s="32"/>
      <c r="BF163" s="53"/>
      <c r="BG163" s="21" t="str">
        <f>IFERROR(VLOOKUP(January[[#This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21" t="str">
        <f>IFERROR(VLOOKUP(January[[#This Row],[Drug Name]],'Data Options'!$R$1:$S$100,2,FALSE), " ")</f>
        <v xml:space="preserve"> </v>
      </c>
      <c r="R164" s="32"/>
      <c r="S164" s="32"/>
      <c r="T164" s="53"/>
      <c r="U164" s="21" t="str">
        <f>IFERROR(VLOOKUP(January[[#This Row],[Drug Name2]],'Data Options'!$R$1:$S$100,2,FALSE), " ")</f>
        <v xml:space="preserve"> </v>
      </c>
      <c r="V164" s="32"/>
      <c r="W164" s="32"/>
      <c r="X164" s="53"/>
      <c r="Y164" s="21" t="str">
        <f>IFERROR(VLOOKUP(January[[#This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21" t="str">
        <f>IFERROR(VLOOKUP(January[[#This Row],[Drug Name4]],'Data Options'!$R$1:$S$100,2,FALSE), " ")</f>
        <v xml:space="preserve"> </v>
      </c>
      <c r="AI164" s="32"/>
      <c r="AJ164" s="32"/>
      <c r="AK164" s="53"/>
      <c r="AL164" s="21" t="str">
        <f>IFERROR(VLOOKUP(January[[#This Row],[Drug Name5]],'Data Options'!$R$1:$S$100,2,FALSE), " ")</f>
        <v xml:space="preserve"> </v>
      </c>
      <c r="AM164" s="32"/>
      <c r="AN164" s="32"/>
      <c r="AO164" s="53"/>
      <c r="AP164" s="21" t="str">
        <f>IFERROR(VLOOKUP(January[[#This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21" t="str">
        <f>IFERROR(VLOOKUP(January[[#This Row],[Drug Name7]],'Data Options'!$R$1:$S$100,2,FALSE), " ")</f>
        <v xml:space="preserve"> </v>
      </c>
      <c r="AZ164" s="32"/>
      <c r="BA164" s="32"/>
      <c r="BB164" s="53"/>
      <c r="BC164" s="21" t="str">
        <f>IFERROR(VLOOKUP(January[[#This Row],[Drug Name8]],'Data Options'!$R$1:$S$100,2,FALSE), " ")</f>
        <v xml:space="preserve"> </v>
      </c>
      <c r="BD164" s="32"/>
      <c r="BE164" s="32"/>
      <c r="BF164" s="53"/>
      <c r="BG164" s="21" t="str">
        <f>IFERROR(VLOOKUP(January[[#This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21" t="str">
        <f>IFERROR(VLOOKUP(January[[#This Row],[Drug Name]],'Data Options'!$R$1:$S$100,2,FALSE), " ")</f>
        <v xml:space="preserve"> </v>
      </c>
      <c r="R165" s="32"/>
      <c r="S165" s="32"/>
      <c r="T165" s="53"/>
      <c r="U165" s="21" t="str">
        <f>IFERROR(VLOOKUP(January[[#This Row],[Drug Name2]],'Data Options'!$R$1:$S$100,2,FALSE), " ")</f>
        <v xml:space="preserve"> </v>
      </c>
      <c r="V165" s="32"/>
      <c r="W165" s="32"/>
      <c r="X165" s="53"/>
      <c r="Y165" s="21" t="str">
        <f>IFERROR(VLOOKUP(January[[#This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21" t="str">
        <f>IFERROR(VLOOKUP(January[[#This Row],[Drug Name4]],'Data Options'!$R$1:$S$100,2,FALSE), " ")</f>
        <v xml:space="preserve"> </v>
      </c>
      <c r="AI165" s="32"/>
      <c r="AJ165" s="32"/>
      <c r="AK165" s="53"/>
      <c r="AL165" s="21" t="str">
        <f>IFERROR(VLOOKUP(January[[#This Row],[Drug Name5]],'Data Options'!$R$1:$S$100,2,FALSE), " ")</f>
        <v xml:space="preserve"> </v>
      </c>
      <c r="AM165" s="32"/>
      <c r="AN165" s="32"/>
      <c r="AO165" s="53"/>
      <c r="AP165" s="21" t="str">
        <f>IFERROR(VLOOKUP(January[[#This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21" t="str">
        <f>IFERROR(VLOOKUP(January[[#This Row],[Drug Name7]],'Data Options'!$R$1:$S$100,2,FALSE), " ")</f>
        <v xml:space="preserve"> </v>
      </c>
      <c r="AZ165" s="32"/>
      <c r="BA165" s="32"/>
      <c r="BB165" s="53"/>
      <c r="BC165" s="21" t="str">
        <f>IFERROR(VLOOKUP(January[[#This Row],[Drug Name8]],'Data Options'!$R$1:$S$100,2,FALSE), " ")</f>
        <v xml:space="preserve"> </v>
      </c>
      <c r="BD165" s="32"/>
      <c r="BE165" s="32"/>
      <c r="BF165" s="53"/>
      <c r="BG165" s="21" t="str">
        <f>IFERROR(VLOOKUP(January[[#This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21" t="str">
        <f>IFERROR(VLOOKUP(January[[#This Row],[Drug Name]],'Data Options'!$R$1:$S$100,2,FALSE), " ")</f>
        <v xml:space="preserve"> </v>
      </c>
      <c r="R166" s="32"/>
      <c r="S166" s="32"/>
      <c r="T166" s="53"/>
      <c r="U166" s="21" t="str">
        <f>IFERROR(VLOOKUP(January[[#This Row],[Drug Name2]],'Data Options'!$R$1:$S$100,2,FALSE), " ")</f>
        <v xml:space="preserve"> </v>
      </c>
      <c r="V166" s="32"/>
      <c r="W166" s="32"/>
      <c r="X166" s="53"/>
      <c r="Y166" s="21" t="str">
        <f>IFERROR(VLOOKUP(January[[#This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21" t="str">
        <f>IFERROR(VLOOKUP(January[[#This Row],[Drug Name4]],'Data Options'!$R$1:$S$100,2,FALSE), " ")</f>
        <v xml:space="preserve"> </v>
      </c>
      <c r="AI166" s="32"/>
      <c r="AJ166" s="32"/>
      <c r="AK166" s="53"/>
      <c r="AL166" s="21" t="str">
        <f>IFERROR(VLOOKUP(January[[#This Row],[Drug Name5]],'Data Options'!$R$1:$S$100,2,FALSE), " ")</f>
        <v xml:space="preserve"> </v>
      </c>
      <c r="AM166" s="32"/>
      <c r="AN166" s="32"/>
      <c r="AO166" s="53"/>
      <c r="AP166" s="21" t="str">
        <f>IFERROR(VLOOKUP(January[[#This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21" t="str">
        <f>IFERROR(VLOOKUP(January[[#This Row],[Drug Name7]],'Data Options'!$R$1:$S$100,2,FALSE), " ")</f>
        <v xml:space="preserve"> </v>
      </c>
      <c r="AZ166" s="32"/>
      <c r="BA166" s="32"/>
      <c r="BB166" s="53"/>
      <c r="BC166" s="21" t="str">
        <f>IFERROR(VLOOKUP(January[[#This Row],[Drug Name8]],'Data Options'!$R$1:$S$100,2,FALSE), " ")</f>
        <v xml:space="preserve"> </v>
      </c>
      <c r="BD166" s="32"/>
      <c r="BE166" s="32"/>
      <c r="BF166" s="53"/>
      <c r="BG166" s="21" t="str">
        <f>IFERROR(VLOOKUP(January[[#This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21" t="str">
        <f>IFERROR(VLOOKUP(January[[#This Row],[Drug Name]],'Data Options'!$R$1:$S$100,2,FALSE), " ")</f>
        <v xml:space="preserve"> </v>
      </c>
      <c r="R167" s="32"/>
      <c r="S167" s="32"/>
      <c r="T167" s="53"/>
      <c r="U167" s="21" t="str">
        <f>IFERROR(VLOOKUP(January[[#This Row],[Drug Name2]],'Data Options'!$R$1:$S$100,2,FALSE), " ")</f>
        <v xml:space="preserve"> </v>
      </c>
      <c r="V167" s="32"/>
      <c r="W167" s="32"/>
      <c r="X167" s="53"/>
      <c r="Y167" s="21" t="str">
        <f>IFERROR(VLOOKUP(January[[#This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21" t="str">
        <f>IFERROR(VLOOKUP(January[[#This Row],[Drug Name4]],'Data Options'!$R$1:$S$100,2,FALSE), " ")</f>
        <v xml:space="preserve"> </v>
      </c>
      <c r="AI167" s="32"/>
      <c r="AJ167" s="32"/>
      <c r="AK167" s="53"/>
      <c r="AL167" s="21" t="str">
        <f>IFERROR(VLOOKUP(January[[#This Row],[Drug Name5]],'Data Options'!$R$1:$S$100,2,FALSE), " ")</f>
        <v xml:space="preserve"> </v>
      </c>
      <c r="AM167" s="32"/>
      <c r="AN167" s="32"/>
      <c r="AO167" s="53"/>
      <c r="AP167" s="21" t="str">
        <f>IFERROR(VLOOKUP(January[[#This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21" t="str">
        <f>IFERROR(VLOOKUP(January[[#This Row],[Drug Name7]],'Data Options'!$R$1:$S$100,2,FALSE), " ")</f>
        <v xml:space="preserve"> </v>
      </c>
      <c r="AZ167" s="32"/>
      <c r="BA167" s="32"/>
      <c r="BB167" s="53"/>
      <c r="BC167" s="21" t="str">
        <f>IFERROR(VLOOKUP(January[[#This Row],[Drug Name8]],'Data Options'!$R$1:$S$100,2,FALSE), " ")</f>
        <v xml:space="preserve"> </v>
      </c>
      <c r="BD167" s="32"/>
      <c r="BE167" s="32"/>
      <c r="BF167" s="53"/>
      <c r="BG167" s="21" t="str">
        <f>IFERROR(VLOOKUP(January[[#This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21" t="str">
        <f>IFERROR(VLOOKUP(January[[#This Row],[Drug Name]],'Data Options'!$R$1:$S$100,2,FALSE), " ")</f>
        <v xml:space="preserve"> </v>
      </c>
      <c r="R168" s="32"/>
      <c r="S168" s="32"/>
      <c r="T168" s="53"/>
      <c r="U168" s="21" t="str">
        <f>IFERROR(VLOOKUP(January[[#This Row],[Drug Name2]],'Data Options'!$R$1:$S$100,2,FALSE), " ")</f>
        <v xml:space="preserve"> </v>
      </c>
      <c r="V168" s="32"/>
      <c r="W168" s="32"/>
      <c r="X168" s="53"/>
      <c r="Y168" s="21" t="str">
        <f>IFERROR(VLOOKUP(January[[#This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21" t="str">
        <f>IFERROR(VLOOKUP(January[[#This Row],[Drug Name4]],'Data Options'!$R$1:$S$100,2,FALSE), " ")</f>
        <v xml:space="preserve"> </v>
      </c>
      <c r="AI168" s="32"/>
      <c r="AJ168" s="32"/>
      <c r="AK168" s="53"/>
      <c r="AL168" s="21" t="str">
        <f>IFERROR(VLOOKUP(January[[#This Row],[Drug Name5]],'Data Options'!$R$1:$S$100,2,FALSE), " ")</f>
        <v xml:space="preserve"> </v>
      </c>
      <c r="AM168" s="32"/>
      <c r="AN168" s="32"/>
      <c r="AO168" s="53"/>
      <c r="AP168" s="21" t="str">
        <f>IFERROR(VLOOKUP(January[[#This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21" t="str">
        <f>IFERROR(VLOOKUP(January[[#This Row],[Drug Name7]],'Data Options'!$R$1:$S$100,2,FALSE), " ")</f>
        <v xml:space="preserve"> </v>
      </c>
      <c r="AZ168" s="32"/>
      <c r="BA168" s="32"/>
      <c r="BB168" s="53"/>
      <c r="BC168" s="21" t="str">
        <f>IFERROR(VLOOKUP(January[[#This Row],[Drug Name8]],'Data Options'!$R$1:$S$100,2,FALSE), " ")</f>
        <v xml:space="preserve"> </v>
      </c>
      <c r="BD168" s="32"/>
      <c r="BE168" s="32"/>
      <c r="BF168" s="53"/>
      <c r="BG168" s="21" t="str">
        <f>IFERROR(VLOOKUP(January[[#This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21" t="str">
        <f>IFERROR(VLOOKUP(January[[#This Row],[Drug Name]],'Data Options'!$R$1:$S$100,2,FALSE), " ")</f>
        <v xml:space="preserve"> </v>
      </c>
      <c r="R169" s="32"/>
      <c r="S169" s="32"/>
      <c r="T169" s="53"/>
      <c r="U169" s="21" t="str">
        <f>IFERROR(VLOOKUP(January[[#This Row],[Drug Name2]],'Data Options'!$R$1:$S$100,2,FALSE), " ")</f>
        <v xml:space="preserve"> </v>
      </c>
      <c r="V169" s="32"/>
      <c r="W169" s="32"/>
      <c r="X169" s="53"/>
      <c r="Y169" s="21" t="str">
        <f>IFERROR(VLOOKUP(January[[#This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21" t="str">
        <f>IFERROR(VLOOKUP(January[[#This Row],[Drug Name4]],'Data Options'!$R$1:$S$100,2,FALSE), " ")</f>
        <v xml:space="preserve"> </v>
      </c>
      <c r="AI169" s="32"/>
      <c r="AJ169" s="32"/>
      <c r="AK169" s="53"/>
      <c r="AL169" s="21" t="str">
        <f>IFERROR(VLOOKUP(January[[#This Row],[Drug Name5]],'Data Options'!$R$1:$S$100,2,FALSE), " ")</f>
        <v xml:space="preserve"> </v>
      </c>
      <c r="AM169" s="32"/>
      <c r="AN169" s="32"/>
      <c r="AO169" s="53"/>
      <c r="AP169" s="21" t="str">
        <f>IFERROR(VLOOKUP(January[[#This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21" t="str">
        <f>IFERROR(VLOOKUP(January[[#This Row],[Drug Name7]],'Data Options'!$R$1:$S$100,2,FALSE), " ")</f>
        <v xml:space="preserve"> </v>
      </c>
      <c r="AZ169" s="32"/>
      <c r="BA169" s="32"/>
      <c r="BB169" s="53"/>
      <c r="BC169" s="21" t="str">
        <f>IFERROR(VLOOKUP(January[[#This Row],[Drug Name8]],'Data Options'!$R$1:$S$100,2,FALSE), " ")</f>
        <v xml:space="preserve"> </v>
      </c>
      <c r="BD169" s="32"/>
      <c r="BE169" s="32"/>
      <c r="BF169" s="53"/>
      <c r="BG169" s="21" t="str">
        <f>IFERROR(VLOOKUP(January[[#This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21" t="str">
        <f>IFERROR(VLOOKUP(January[[#This Row],[Drug Name]],'Data Options'!$R$1:$S$100,2,FALSE), " ")</f>
        <v xml:space="preserve"> </v>
      </c>
      <c r="R170" s="32"/>
      <c r="S170" s="32"/>
      <c r="T170" s="53"/>
      <c r="U170" s="21" t="str">
        <f>IFERROR(VLOOKUP(January[[#This Row],[Drug Name2]],'Data Options'!$R$1:$S$100,2,FALSE), " ")</f>
        <v xml:space="preserve"> </v>
      </c>
      <c r="V170" s="32"/>
      <c r="W170" s="32"/>
      <c r="X170" s="53"/>
      <c r="Y170" s="21" t="str">
        <f>IFERROR(VLOOKUP(January[[#This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21" t="str">
        <f>IFERROR(VLOOKUP(January[[#This Row],[Drug Name4]],'Data Options'!$R$1:$S$100,2,FALSE), " ")</f>
        <v xml:space="preserve"> </v>
      </c>
      <c r="AI170" s="32"/>
      <c r="AJ170" s="32"/>
      <c r="AK170" s="53"/>
      <c r="AL170" s="21" t="str">
        <f>IFERROR(VLOOKUP(January[[#This Row],[Drug Name5]],'Data Options'!$R$1:$S$100,2,FALSE), " ")</f>
        <v xml:space="preserve"> </v>
      </c>
      <c r="AM170" s="32"/>
      <c r="AN170" s="32"/>
      <c r="AO170" s="53"/>
      <c r="AP170" s="21" t="str">
        <f>IFERROR(VLOOKUP(January[[#This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21" t="str">
        <f>IFERROR(VLOOKUP(January[[#This Row],[Drug Name7]],'Data Options'!$R$1:$S$100,2,FALSE), " ")</f>
        <v xml:space="preserve"> </v>
      </c>
      <c r="AZ170" s="32"/>
      <c r="BA170" s="32"/>
      <c r="BB170" s="53"/>
      <c r="BC170" s="21" t="str">
        <f>IFERROR(VLOOKUP(January[[#This Row],[Drug Name8]],'Data Options'!$R$1:$S$100,2,FALSE), " ")</f>
        <v xml:space="preserve"> </v>
      </c>
      <c r="BD170" s="32"/>
      <c r="BE170" s="32"/>
      <c r="BF170" s="53"/>
      <c r="BG170" s="21" t="str">
        <f>IFERROR(VLOOKUP(January[[#This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21" t="str">
        <f>IFERROR(VLOOKUP(January[[#This Row],[Drug Name]],'Data Options'!$R$1:$S$100,2,FALSE), " ")</f>
        <v xml:space="preserve"> </v>
      </c>
      <c r="R171" s="32"/>
      <c r="S171" s="32"/>
      <c r="T171" s="53"/>
      <c r="U171" s="21" t="str">
        <f>IFERROR(VLOOKUP(January[[#This Row],[Drug Name2]],'Data Options'!$R$1:$S$100,2,FALSE), " ")</f>
        <v xml:space="preserve"> </v>
      </c>
      <c r="V171" s="32"/>
      <c r="W171" s="32"/>
      <c r="X171" s="53"/>
      <c r="Y171" s="21" t="str">
        <f>IFERROR(VLOOKUP(January[[#This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21" t="str">
        <f>IFERROR(VLOOKUP(January[[#This Row],[Drug Name4]],'Data Options'!$R$1:$S$100,2,FALSE), " ")</f>
        <v xml:space="preserve"> </v>
      </c>
      <c r="AI171" s="32"/>
      <c r="AJ171" s="32"/>
      <c r="AK171" s="53"/>
      <c r="AL171" s="21" t="str">
        <f>IFERROR(VLOOKUP(January[[#This Row],[Drug Name5]],'Data Options'!$R$1:$S$100,2,FALSE), " ")</f>
        <v xml:space="preserve"> </v>
      </c>
      <c r="AM171" s="32"/>
      <c r="AN171" s="32"/>
      <c r="AO171" s="53"/>
      <c r="AP171" s="21" t="str">
        <f>IFERROR(VLOOKUP(January[[#This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21" t="str">
        <f>IFERROR(VLOOKUP(January[[#This Row],[Drug Name7]],'Data Options'!$R$1:$S$100,2,FALSE), " ")</f>
        <v xml:space="preserve"> </v>
      </c>
      <c r="AZ171" s="32"/>
      <c r="BA171" s="32"/>
      <c r="BB171" s="53"/>
      <c r="BC171" s="21" t="str">
        <f>IFERROR(VLOOKUP(January[[#This Row],[Drug Name8]],'Data Options'!$R$1:$S$100,2,FALSE), " ")</f>
        <v xml:space="preserve"> </v>
      </c>
      <c r="BD171" s="32"/>
      <c r="BE171" s="32"/>
      <c r="BF171" s="53"/>
      <c r="BG171" s="21" t="str">
        <f>IFERROR(VLOOKUP(January[[#This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21" t="str">
        <f>IFERROR(VLOOKUP(January[[#This Row],[Drug Name]],'Data Options'!$R$1:$S$100,2,FALSE), " ")</f>
        <v xml:space="preserve"> </v>
      </c>
      <c r="R172" s="32"/>
      <c r="S172" s="32"/>
      <c r="T172" s="53"/>
      <c r="U172" s="21" t="str">
        <f>IFERROR(VLOOKUP(January[[#This Row],[Drug Name2]],'Data Options'!$R$1:$S$100,2,FALSE), " ")</f>
        <v xml:space="preserve"> </v>
      </c>
      <c r="V172" s="32"/>
      <c r="W172" s="32"/>
      <c r="X172" s="53"/>
      <c r="Y172" s="21" t="str">
        <f>IFERROR(VLOOKUP(January[[#This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21" t="str">
        <f>IFERROR(VLOOKUP(January[[#This Row],[Drug Name4]],'Data Options'!$R$1:$S$100,2,FALSE), " ")</f>
        <v xml:space="preserve"> </v>
      </c>
      <c r="AI172" s="32"/>
      <c r="AJ172" s="32"/>
      <c r="AK172" s="53"/>
      <c r="AL172" s="21" t="str">
        <f>IFERROR(VLOOKUP(January[[#This Row],[Drug Name5]],'Data Options'!$R$1:$S$100,2,FALSE), " ")</f>
        <v xml:space="preserve"> </v>
      </c>
      <c r="AM172" s="32"/>
      <c r="AN172" s="32"/>
      <c r="AO172" s="53"/>
      <c r="AP172" s="21" t="str">
        <f>IFERROR(VLOOKUP(January[[#This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21" t="str">
        <f>IFERROR(VLOOKUP(January[[#This Row],[Drug Name7]],'Data Options'!$R$1:$S$100,2,FALSE), " ")</f>
        <v xml:space="preserve"> </v>
      </c>
      <c r="AZ172" s="32"/>
      <c r="BA172" s="32"/>
      <c r="BB172" s="53"/>
      <c r="BC172" s="21" t="str">
        <f>IFERROR(VLOOKUP(January[[#This Row],[Drug Name8]],'Data Options'!$R$1:$S$100,2,FALSE), " ")</f>
        <v xml:space="preserve"> </v>
      </c>
      <c r="BD172" s="32"/>
      <c r="BE172" s="32"/>
      <c r="BF172" s="53"/>
      <c r="BG172" s="21" t="str">
        <f>IFERROR(VLOOKUP(January[[#This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21" t="str">
        <f>IFERROR(VLOOKUP(January[[#This Row],[Drug Name]],'Data Options'!$R$1:$S$100,2,FALSE), " ")</f>
        <v xml:space="preserve"> </v>
      </c>
      <c r="R173" s="32"/>
      <c r="S173" s="32"/>
      <c r="T173" s="53"/>
      <c r="U173" s="21" t="str">
        <f>IFERROR(VLOOKUP(January[[#This Row],[Drug Name2]],'Data Options'!$R$1:$S$100,2,FALSE), " ")</f>
        <v xml:space="preserve"> </v>
      </c>
      <c r="V173" s="32"/>
      <c r="W173" s="32"/>
      <c r="X173" s="53"/>
      <c r="Y173" s="21" t="str">
        <f>IFERROR(VLOOKUP(January[[#This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21" t="str">
        <f>IFERROR(VLOOKUP(January[[#This Row],[Drug Name4]],'Data Options'!$R$1:$S$100,2,FALSE), " ")</f>
        <v xml:space="preserve"> </v>
      </c>
      <c r="AI173" s="32"/>
      <c r="AJ173" s="32"/>
      <c r="AK173" s="53"/>
      <c r="AL173" s="21" t="str">
        <f>IFERROR(VLOOKUP(January[[#This Row],[Drug Name5]],'Data Options'!$R$1:$S$100,2,FALSE), " ")</f>
        <v xml:space="preserve"> </v>
      </c>
      <c r="AM173" s="32"/>
      <c r="AN173" s="32"/>
      <c r="AO173" s="53"/>
      <c r="AP173" s="21" t="str">
        <f>IFERROR(VLOOKUP(January[[#This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21" t="str">
        <f>IFERROR(VLOOKUP(January[[#This Row],[Drug Name7]],'Data Options'!$R$1:$S$100,2,FALSE), " ")</f>
        <v xml:space="preserve"> </v>
      </c>
      <c r="AZ173" s="32"/>
      <c r="BA173" s="32"/>
      <c r="BB173" s="53"/>
      <c r="BC173" s="21" t="str">
        <f>IFERROR(VLOOKUP(January[[#This Row],[Drug Name8]],'Data Options'!$R$1:$S$100,2,FALSE), " ")</f>
        <v xml:space="preserve"> </v>
      </c>
      <c r="BD173" s="32"/>
      <c r="BE173" s="32"/>
      <c r="BF173" s="53"/>
      <c r="BG173" s="21" t="str">
        <f>IFERROR(VLOOKUP(January[[#This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21" t="str">
        <f>IFERROR(VLOOKUP(January[[#This Row],[Drug Name]],'Data Options'!$R$1:$S$100,2,FALSE), " ")</f>
        <v xml:space="preserve"> </v>
      </c>
      <c r="R174" s="32"/>
      <c r="S174" s="32"/>
      <c r="T174" s="53"/>
      <c r="U174" s="21" t="str">
        <f>IFERROR(VLOOKUP(January[[#This Row],[Drug Name2]],'Data Options'!$R$1:$S$100,2,FALSE), " ")</f>
        <v xml:space="preserve"> </v>
      </c>
      <c r="V174" s="32"/>
      <c r="W174" s="32"/>
      <c r="X174" s="53"/>
      <c r="Y174" s="21" t="str">
        <f>IFERROR(VLOOKUP(January[[#This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21" t="str">
        <f>IFERROR(VLOOKUP(January[[#This Row],[Drug Name4]],'Data Options'!$R$1:$S$100,2,FALSE), " ")</f>
        <v xml:space="preserve"> </v>
      </c>
      <c r="AI174" s="32"/>
      <c r="AJ174" s="32"/>
      <c r="AK174" s="53"/>
      <c r="AL174" s="21" t="str">
        <f>IFERROR(VLOOKUP(January[[#This Row],[Drug Name5]],'Data Options'!$R$1:$S$100,2,FALSE), " ")</f>
        <v xml:space="preserve"> </v>
      </c>
      <c r="AM174" s="32"/>
      <c r="AN174" s="32"/>
      <c r="AO174" s="53"/>
      <c r="AP174" s="21" t="str">
        <f>IFERROR(VLOOKUP(January[[#This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21" t="str">
        <f>IFERROR(VLOOKUP(January[[#This Row],[Drug Name7]],'Data Options'!$R$1:$S$100,2,FALSE), " ")</f>
        <v xml:space="preserve"> </v>
      </c>
      <c r="AZ174" s="32"/>
      <c r="BA174" s="32"/>
      <c r="BB174" s="53"/>
      <c r="BC174" s="21" t="str">
        <f>IFERROR(VLOOKUP(January[[#This Row],[Drug Name8]],'Data Options'!$R$1:$S$100,2,FALSE), " ")</f>
        <v xml:space="preserve"> </v>
      </c>
      <c r="BD174" s="32"/>
      <c r="BE174" s="32"/>
      <c r="BF174" s="53"/>
      <c r="BG174" s="21" t="str">
        <f>IFERROR(VLOOKUP(January[[#This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21" t="str">
        <f>IFERROR(VLOOKUP(January[[#This Row],[Drug Name]],'Data Options'!$R$1:$S$100,2,FALSE), " ")</f>
        <v xml:space="preserve"> </v>
      </c>
      <c r="R175" s="32"/>
      <c r="S175" s="32"/>
      <c r="T175" s="53"/>
      <c r="U175" s="21" t="str">
        <f>IFERROR(VLOOKUP(January[[#This Row],[Drug Name2]],'Data Options'!$R$1:$S$100,2,FALSE), " ")</f>
        <v xml:space="preserve"> </v>
      </c>
      <c r="V175" s="32"/>
      <c r="W175" s="32"/>
      <c r="X175" s="53"/>
      <c r="Y175" s="21" t="str">
        <f>IFERROR(VLOOKUP(January[[#This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21" t="str">
        <f>IFERROR(VLOOKUP(January[[#This Row],[Drug Name4]],'Data Options'!$R$1:$S$100,2,FALSE), " ")</f>
        <v xml:space="preserve"> </v>
      </c>
      <c r="AI175" s="32"/>
      <c r="AJ175" s="32"/>
      <c r="AK175" s="53"/>
      <c r="AL175" s="21" t="str">
        <f>IFERROR(VLOOKUP(January[[#This Row],[Drug Name5]],'Data Options'!$R$1:$S$100,2,FALSE), " ")</f>
        <v xml:space="preserve"> </v>
      </c>
      <c r="AM175" s="32"/>
      <c r="AN175" s="32"/>
      <c r="AO175" s="53"/>
      <c r="AP175" s="21" t="str">
        <f>IFERROR(VLOOKUP(January[[#This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21" t="str">
        <f>IFERROR(VLOOKUP(January[[#This Row],[Drug Name7]],'Data Options'!$R$1:$S$100,2,FALSE), " ")</f>
        <v xml:space="preserve"> </v>
      </c>
      <c r="AZ175" s="32"/>
      <c r="BA175" s="32"/>
      <c r="BB175" s="53"/>
      <c r="BC175" s="21" t="str">
        <f>IFERROR(VLOOKUP(January[[#This Row],[Drug Name8]],'Data Options'!$R$1:$S$100,2,FALSE), " ")</f>
        <v xml:space="preserve"> </v>
      </c>
      <c r="BD175" s="32"/>
      <c r="BE175" s="32"/>
      <c r="BF175" s="53"/>
      <c r="BG175" s="21" t="str">
        <f>IFERROR(VLOOKUP(January[[#This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21" t="str">
        <f>IFERROR(VLOOKUP(January[[#This Row],[Drug Name]],'Data Options'!$R$1:$S$100,2,FALSE), " ")</f>
        <v xml:space="preserve"> </v>
      </c>
      <c r="R176" s="32"/>
      <c r="S176" s="32"/>
      <c r="T176" s="53"/>
      <c r="U176" s="21" t="str">
        <f>IFERROR(VLOOKUP(January[[#This Row],[Drug Name2]],'Data Options'!$R$1:$S$100,2,FALSE), " ")</f>
        <v xml:space="preserve"> </v>
      </c>
      <c r="V176" s="32"/>
      <c r="W176" s="32"/>
      <c r="X176" s="53"/>
      <c r="Y176" s="21" t="str">
        <f>IFERROR(VLOOKUP(January[[#This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21" t="str">
        <f>IFERROR(VLOOKUP(January[[#This Row],[Drug Name4]],'Data Options'!$R$1:$S$100,2,FALSE), " ")</f>
        <v xml:space="preserve"> </v>
      </c>
      <c r="AI176" s="32"/>
      <c r="AJ176" s="32"/>
      <c r="AK176" s="53"/>
      <c r="AL176" s="21" t="str">
        <f>IFERROR(VLOOKUP(January[[#This Row],[Drug Name5]],'Data Options'!$R$1:$S$100,2,FALSE), " ")</f>
        <v xml:space="preserve"> </v>
      </c>
      <c r="AM176" s="32"/>
      <c r="AN176" s="32"/>
      <c r="AO176" s="53"/>
      <c r="AP176" s="21" t="str">
        <f>IFERROR(VLOOKUP(January[[#This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21" t="str">
        <f>IFERROR(VLOOKUP(January[[#This Row],[Drug Name7]],'Data Options'!$R$1:$S$100,2,FALSE), " ")</f>
        <v xml:space="preserve"> </v>
      </c>
      <c r="AZ176" s="32"/>
      <c r="BA176" s="32"/>
      <c r="BB176" s="53"/>
      <c r="BC176" s="21" t="str">
        <f>IFERROR(VLOOKUP(January[[#This Row],[Drug Name8]],'Data Options'!$R$1:$S$100,2,FALSE), " ")</f>
        <v xml:space="preserve"> </v>
      </c>
      <c r="BD176" s="32"/>
      <c r="BE176" s="32"/>
      <c r="BF176" s="53"/>
      <c r="BG176" s="21" t="str">
        <f>IFERROR(VLOOKUP(January[[#This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21" t="str">
        <f>IFERROR(VLOOKUP(January[[#This Row],[Drug Name]],'Data Options'!$R$1:$S$100,2,FALSE), " ")</f>
        <v xml:space="preserve"> </v>
      </c>
      <c r="R177" s="32"/>
      <c r="S177" s="32"/>
      <c r="T177" s="53"/>
      <c r="U177" s="21" t="str">
        <f>IFERROR(VLOOKUP(January[[#This Row],[Drug Name2]],'Data Options'!$R$1:$S$100,2,FALSE), " ")</f>
        <v xml:space="preserve"> </v>
      </c>
      <c r="V177" s="32"/>
      <c r="W177" s="32"/>
      <c r="X177" s="53"/>
      <c r="Y177" s="21" t="str">
        <f>IFERROR(VLOOKUP(January[[#This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21" t="str">
        <f>IFERROR(VLOOKUP(January[[#This Row],[Drug Name4]],'Data Options'!$R$1:$S$100,2,FALSE), " ")</f>
        <v xml:space="preserve"> </v>
      </c>
      <c r="AI177" s="32"/>
      <c r="AJ177" s="32"/>
      <c r="AK177" s="53"/>
      <c r="AL177" s="21" t="str">
        <f>IFERROR(VLOOKUP(January[[#This Row],[Drug Name5]],'Data Options'!$R$1:$S$100,2,FALSE), " ")</f>
        <v xml:space="preserve"> </v>
      </c>
      <c r="AM177" s="32"/>
      <c r="AN177" s="32"/>
      <c r="AO177" s="53"/>
      <c r="AP177" s="21" t="str">
        <f>IFERROR(VLOOKUP(January[[#This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21" t="str">
        <f>IFERROR(VLOOKUP(January[[#This Row],[Drug Name7]],'Data Options'!$R$1:$S$100,2,FALSE), " ")</f>
        <v xml:space="preserve"> </v>
      </c>
      <c r="AZ177" s="32"/>
      <c r="BA177" s="32"/>
      <c r="BB177" s="53"/>
      <c r="BC177" s="21" t="str">
        <f>IFERROR(VLOOKUP(January[[#This Row],[Drug Name8]],'Data Options'!$R$1:$S$100,2,FALSE), " ")</f>
        <v xml:space="preserve"> </v>
      </c>
      <c r="BD177" s="32"/>
      <c r="BE177" s="32"/>
      <c r="BF177" s="53"/>
      <c r="BG177" s="21" t="str">
        <f>IFERROR(VLOOKUP(January[[#This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21" t="str">
        <f>IFERROR(VLOOKUP(January[[#This Row],[Drug Name]],'Data Options'!$R$1:$S$100,2,FALSE), " ")</f>
        <v xml:space="preserve"> </v>
      </c>
      <c r="R178" s="32"/>
      <c r="S178" s="32"/>
      <c r="T178" s="53"/>
      <c r="U178" s="21" t="str">
        <f>IFERROR(VLOOKUP(January[[#This Row],[Drug Name2]],'Data Options'!$R$1:$S$100,2,FALSE), " ")</f>
        <v xml:space="preserve"> </v>
      </c>
      <c r="V178" s="32"/>
      <c r="W178" s="32"/>
      <c r="X178" s="53"/>
      <c r="Y178" s="21" t="str">
        <f>IFERROR(VLOOKUP(January[[#This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21" t="str">
        <f>IFERROR(VLOOKUP(January[[#This Row],[Drug Name4]],'Data Options'!$R$1:$S$100,2,FALSE), " ")</f>
        <v xml:space="preserve"> </v>
      </c>
      <c r="AI178" s="32"/>
      <c r="AJ178" s="32"/>
      <c r="AK178" s="53"/>
      <c r="AL178" s="21" t="str">
        <f>IFERROR(VLOOKUP(January[[#This Row],[Drug Name5]],'Data Options'!$R$1:$S$100,2,FALSE), " ")</f>
        <v xml:space="preserve"> </v>
      </c>
      <c r="AM178" s="32"/>
      <c r="AN178" s="32"/>
      <c r="AO178" s="53"/>
      <c r="AP178" s="21" t="str">
        <f>IFERROR(VLOOKUP(January[[#This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21" t="str">
        <f>IFERROR(VLOOKUP(January[[#This Row],[Drug Name7]],'Data Options'!$R$1:$S$100,2,FALSE), " ")</f>
        <v xml:space="preserve"> </v>
      </c>
      <c r="AZ178" s="32"/>
      <c r="BA178" s="32"/>
      <c r="BB178" s="53"/>
      <c r="BC178" s="21" t="str">
        <f>IFERROR(VLOOKUP(January[[#This Row],[Drug Name8]],'Data Options'!$R$1:$S$100,2,FALSE), " ")</f>
        <v xml:space="preserve"> </v>
      </c>
      <c r="BD178" s="32"/>
      <c r="BE178" s="32"/>
      <c r="BF178" s="53"/>
      <c r="BG178" s="21" t="str">
        <f>IFERROR(VLOOKUP(January[[#This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21" t="str">
        <f>IFERROR(VLOOKUP(January[[#This Row],[Drug Name]],'Data Options'!$R$1:$S$100,2,FALSE), " ")</f>
        <v xml:space="preserve"> </v>
      </c>
      <c r="R179" s="32"/>
      <c r="S179" s="32"/>
      <c r="T179" s="53"/>
      <c r="U179" s="21" t="str">
        <f>IFERROR(VLOOKUP(January[[#This Row],[Drug Name2]],'Data Options'!$R$1:$S$100,2,FALSE), " ")</f>
        <v xml:space="preserve"> </v>
      </c>
      <c r="V179" s="32"/>
      <c r="W179" s="32"/>
      <c r="X179" s="53"/>
      <c r="Y179" s="21" t="str">
        <f>IFERROR(VLOOKUP(January[[#This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21" t="str">
        <f>IFERROR(VLOOKUP(January[[#This Row],[Drug Name4]],'Data Options'!$R$1:$S$100,2,FALSE), " ")</f>
        <v xml:space="preserve"> </v>
      </c>
      <c r="AI179" s="32"/>
      <c r="AJ179" s="32"/>
      <c r="AK179" s="53"/>
      <c r="AL179" s="21" t="str">
        <f>IFERROR(VLOOKUP(January[[#This Row],[Drug Name5]],'Data Options'!$R$1:$S$100,2,FALSE), " ")</f>
        <v xml:space="preserve"> </v>
      </c>
      <c r="AM179" s="32"/>
      <c r="AN179" s="32"/>
      <c r="AO179" s="53"/>
      <c r="AP179" s="21" t="str">
        <f>IFERROR(VLOOKUP(January[[#This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21" t="str">
        <f>IFERROR(VLOOKUP(January[[#This Row],[Drug Name7]],'Data Options'!$R$1:$S$100,2,FALSE), " ")</f>
        <v xml:space="preserve"> </v>
      </c>
      <c r="AZ179" s="32"/>
      <c r="BA179" s="32"/>
      <c r="BB179" s="53"/>
      <c r="BC179" s="21" t="str">
        <f>IFERROR(VLOOKUP(January[[#This Row],[Drug Name8]],'Data Options'!$R$1:$S$100,2,FALSE), " ")</f>
        <v xml:space="preserve"> </v>
      </c>
      <c r="BD179" s="32"/>
      <c r="BE179" s="32"/>
      <c r="BF179" s="53"/>
      <c r="BG179" s="21" t="str">
        <f>IFERROR(VLOOKUP(January[[#This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21" t="str">
        <f>IFERROR(VLOOKUP(January[[#This Row],[Drug Name]],'Data Options'!$R$1:$S$100,2,FALSE), " ")</f>
        <v xml:space="preserve"> </v>
      </c>
      <c r="R180" s="32"/>
      <c r="S180" s="32"/>
      <c r="T180" s="53"/>
      <c r="U180" s="21" t="str">
        <f>IFERROR(VLOOKUP(January[[#This Row],[Drug Name2]],'Data Options'!$R$1:$S$100,2,FALSE), " ")</f>
        <v xml:space="preserve"> </v>
      </c>
      <c r="V180" s="32"/>
      <c r="W180" s="32"/>
      <c r="X180" s="53"/>
      <c r="Y180" s="21" t="str">
        <f>IFERROR(VLOOKUP(January[[#This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21" t="str">
        <f>IFERROR(VLOOKUP(January[[#This Row],[Drug Name4]],'Data Options'!$R$1:$S$100,2,FALSE), " ")</f>
        <v xml:space="preserve"> </v>
      </c>
      <c r="AI180" s="32"/>
      <c r="AJ180" s="32"/>
      <c r="AK180" s="53"/>
      <c r="AL180" s="21" t="str">
        <f>IFERROR(VLOOKUP(January[[#This Row],[Drug Name5]],'Data Options'!$R$1:$S$100,2,FALSE), " ")</f>
        <v xml:space="preserve"> </v>
      </c>
      <c r="AM180" s="32"/>
      <c r="AN180" s="32"/>
      <c r="AO180" s="53"/>
      <c r="AP180" s="21" t="str">
        <f>IFERROR(VLOOKUP(January[[#This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21" t="str">
        <f>IFERROR(VLOOKUP(January[[#This Row],[Drug Name7]],'Data Options'!$R$1:$S$100,2,FALSE), " ")</f>
        <v xml:space="preserve"> </v>
      </c>
      <c r="AZ180" s="32"/>
      <c r="BA180" s="32"/>
      <c r="BB180" s="53"/>
      <c r="BC180" s="21" t="str">
        <f>IFERROR(VLOOKUP(January[[#This Row],[Drug Name8]],'Data Options'!$R$1:$S$100,2,FALSE), " ")</f>
        <v xml:space="preserve"> </v>
      </c>
      <c r="BD180" s="32"/>
      <c r="BE180" s="32"/>
      <c r="BF180" s="53"/>
      <c r="BG180" s="21" t="str">
        <f>IFERROR(VLOOKUP(January[[#This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21" t="str">
        <f>IFERROR(VLOOKUP(January[[#This Row],[Drug Name]],'Data Options'!$R$1:$S$100,2,FALSE), " ")</f>
        <v xml:space="preserve"> </v>
      </c>
      <c r="R181" s="32"/>
      <c r="S181" s="32"/>
      <c r="T181" s="53"/>
      <c r="U181" s="21" t="str">
        <f>IFERROR(VLOOKUP(January[[#This Row],[Drug Name2]],'Data Options'!$R$1:$S$100,2,FALSE), " ")</f>
        <v xml:space="preserve"> </v>
      </c>
      <c r="V181" s="32"/>
      <c r="W181" s="32"/>
      <c r="X181" s="53"/>
      <c r="Y181" s="21" t="str">
        <f>IFERROR(VLOOKUP(January[[#This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21" t="str">
        <f>IFERROR(VLOOKUP(January[[#This Row],[Drug Name4]],'Data Options'!$R$1:$S$100,2,FALSE), " ")</f>
        <v xml:space="preserve"> </v>
      </c>
      <c r="AI181" s="32"/>
      <c r="AJ181" s="32"/>
      <c r="AK181" s="53"/>
      <c r="AL181" s="21" t="str">
        <f>IFERROR(VLOOKUP(January[[#This Row],[Drug Name5]],'Data Options'!$R$1:$S$100,2,FALSE), " ")</f>
        <v xml:space="preserve"> </v>
      </c>
      <c r="AM181" s="32"/>
      <c r="AN181" s="32"/>
      <c r="AO181" s="53"/>
      <c r="AP181" s="21" t="str">
        <f>IFERROR(VLOOKUP(January[[#This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21" t="str">
        <f>IFERROR(VLOOKUP(January[[#This Row],[Drug Name7]],'Data Options'!$R$1:$S$100,2,FALSE), " ")</f>
        <v xml:space="preserve"> </v>
      </c>
      <c r="AZ181" s="32"/>
      <c r="BA181" s="32"/>
      <c r="BB181" s="53"/>
      <c r="BC181" s="21" t="str">
        <f>IFERROR(VLOOKUP(January[[#This Row],[Drug Name8]],'Data Options'!$R$1:$S$100,2,FALSE), " ")</f>
        <v xml:space="preserve"> </v>
      </c>
      <c r="BD181" s="32"/>
      <c r="BE181" s="32"/>
      <c r="BF181" s="53"/>
      <c r="BG181" s="21" t="str">
        <f>IFERROR(VLOOKUP(January[[#This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21" t="str">
        <f>IFERROR(VLOOKUP(January[[#This Row],[Drug Name]],'Data Options'!$R$1:$S$100,2,FALSE), " ")</f>
        <v xml:space="preserve"> </v>
      </c>
      <c r="R182" s="32"/>
      <c r="S182" s="32"/>
      <c r="T182" s="53"/>
      <c r="U182" s="21" t="str">
        <f>IFERROR(VLOOKUP(January[[#This Row],[Drug Name2]],'Data Options'!$R$1:$S$100,2,FALSE), " ")</f>
        <v xml:space="preserve"> </v>
      </c>
      <c r="V182" s="32"/>
      <c r="W182" s="32"/>
      <c r="X182" s="53"/>
      <c r="Y182" s="21" t="str">
        <f>IFERROR(VLOOKUP(January[[#This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21" t="str">
        <f>IFERROR(VLOOKUP(January[[#This Row],[Drug Name4]],'Data Options'!$R$1:$S$100,2,FALSE), " ")</f>
        <v xml:space="preserve"> </v>
      </c>
      <c r="AI182" s="32"/>
      <c r="AJ182" s="32"/>
      <c r="AK182" s="53"/>
      <c r="AL182" s="21" t="str">
        <f>IFERROR(VLOOKUP(January[[#This Row],[Drug Name5]],'Data Options'!$R$1:$S$100,2,FALSE), " ")</f>
        <v xml:space="preserve"> </v>
      </c>
      <c r="AM182" s="32"/>
      <c r="AN182" s="32"/>
      <c r="AO182" s="53"/>
      <c r="AP182" s="21" t="str">
        <f>IFERROR(VLOOKUP(January[[#This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21" t="str">
        <f>IFERROR(VLOOKUP(January[[#This Row],[Drug Name7]],'Data Options'!$R$1:$S$100,2,FALSE), " ")</f>
        <v xml:space="preserve"> </v>
      </c>
      <c r="AZ182" s="32"/>
      <c r="BA182" s="32"/>
      <c r="BB182" s="53"/>
      <c r="BC182" s="21" t="str">
        <f>IFERROR(VLOOKUP(January[[#This Row],[Drug Name8]],'Data Options'!$R$1:$S$100,2,FALSE), " ")</f>
        <v xml:space="preserve"> </v>
      </c>
      <c r="BD182" s="32"/>
      <c r="BE182" s="32"/>
      <c r="BF182" s="53"/>
      <c r="BG182" s="21" t="str">
        <f>IFERROR(VLOOKUP(January[[#This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21" t="str">
        <f>IFERROR(VLOOKUP(January[[#This Row],[Drug Name]],'Data Options'!$R$1:$S$100,2,FALSE), " ")</f>
        <v xml:space="preserve"> </v>
      </c>
      <c r="R183" s="32"/>
      <c r="S183" s="32"/>
      <c r="T183" s="53"/>
      <c r="U183" s="21" t="str">
        <f>IFERROR(VLOOKUP(January[[#This Row],[Drug Name2]],'Data Options'!$R$1:$S$100,2,FALSE), " ")</f>
        <v xml:space="preserve"> </v>
      </c>
      <c r="V183" s="32"/>
      <c r="W183" s="32"/>
      <c r="X183" s="53"/>
      <c r="Y183" s="21" t="str">
        <f>IFERROR(VLOOKUP(January[[#This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21" t="str">
        <f>IFERROR(VLOOKUP(January[[#This Row],[Drug Name4]],'Data Options'!$R$1:$S$100,2,FALSE), " ")</f>
        <v xml:space="preserve"> </v>
      </c>
      <c r="AI183" s="32"/>
      <c r="AJ183" s="32"/>
      <c r="AK183" s="53"/>
      <c r="AL183" s="21" t="str">
        <f>IFERROR(VLOOKUP(January[[#This Row],[Drug Name5]],'Data Options'!$R$1:$S$100,2,FALSE), " ")</f>
        <v xml:space="preserve"> </v>
      </c>
      <c r="AM183" s="32"/>
      <c r="AN183" s="32"/>
      <c r="AO183" s="53"/>
      <c r="AP183" s="21" t="str">
        <f>IFERROR(VLOOKUP(January[[#This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21" t="str">
        <f>IFERROR(VLOOKUP(January[[#This Row],[Drug Name7]],'Data Options'!$R$1:$S$100,2,FALSE), " ")</f>
        <v xml:space="preserve"> </v>
      </c>
      <c r="AZ183" s="32"/>
      <c r="BA183" s="32"/>
      <c r="BB183" s="53"/>
      <c r="BC183" s="21" t="str">
        <f>IFERROR(VLOOKUP(January[[#This Row],[Drug Name8]],'Data Options'!$R$1:$S$100,2,FALSE), " ")</f>
        <v xml:space="preserve"> </v>
      </c>
      <c r="BD183" s="32"/>
      <c r="BE183" s="32"/>
      <c r="BF183" s="53"/>
      <c r="BG183" s="21" t="str">
        <f>IFERROR(VLOOKUP(January[[#This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21" t="str">
        <f>IFERROR(VLOOKUP(January[[#This Row],[Drug Name]],'Data Options'!$R$1:$S$100,2,FALSE), " ")</f>
        <v xml:space="preserve"> </v>
      </c>
      <c r="R184" s="32"/>
      <c r="S184" s="32"/>
      <c r="T184" s="53"/>
      <c r="U184" s="21" t="str">
        <f>IFERROR(VLOOKUP(January[[#This Row],[Drug Name2]],'Data Options'!$R$1:$S$100,2,FALSE), " ")</f>
        <v xml:space="preserve"> </v>
      </c>
      <c r="V184" s="32"/>
      <c r="W184" s="32"/>
      <c r="X184" s="53"/>
      <c r="Y184" s="21" t="str">
        <f>IFERROR(VLOOKUP(January[[#This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21" t="str">
        <f>IFERROR(VLOOKUP(January[[#This Row],[Drug Name4]],'Data Options'!$R$1:$S$100,2,FALSE), " ")</f>
        <v xml:space="preserve"> </v>
      </c>
      <c r="AI184" s="32"/>
      <c r="AJ184" s="32"/>
      <c r="AK184" s="53"/>
      <c r="AL184" s="21" t="str">
        <f>IFERROR(VLOOKUP(January[[#This Row],[Drug Name5]],'Data Options'!$R$1:$S$100,2,FALSE), " ")</f>
        <v xml:space="preserve"> </v>
      </c>
      <c r="AM184" s="32"/>
      <c r="AN184" s="32"/>
      <c r="AO184" s="53"/>
      <c r="AP184" s="21" t="str">
        <f>IFERROR(VLOOKUP(January[[#This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21" t="str">
        <f>IFERROR(VLOOKUP(January[[#This Row],[Drug Name7]],'Data Options'!$R$1:$S$100,2,FALSE), " ")</f>
        <v xml:space="preserve"> </v>
      </c>
      <c r="AZ184" s="32"/>
      <c r="BA184" s="32"/>
      <c r="BB184" s="53"/>
      <c r="BC184" s="21" t="str">
        <f>IFERROR(VLOOKUP(January[[#This Row],[Drug Name8]],'Data Options'!$R$1:$S$100,2,FALSE), " ")</f>
        <v xml:space="preserve"> </v>
      </c>
      <c r="BD184" s="32"/>
      <c r="BE184" s="32"/>
      <c r="BF184" s="53"/>
      <c r="BG184" s="21" t="str">
        <f>IFERROR(VLOOKUP(January[[#This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21" t="str">
        <f>IFERROR(VLOOKUP(January[[#This Row],[Drug Name]],'Data Options'!$R$1:$S$100,2,FALSE), " ")</f>
        <v xml:space="preserve"> </v>
      </c>
      <c r="R185" s="32"/>
      <c r="S185" s="32"/>
      <c r="T185" s="53"/>
      <c r="U185" s="21" t="str">
        <f>IFERROR(VLOOKUP(January[[#This Row],[Drug Name2]],'Data Options'!$R$1:$S$100,2,FALSE), " ")</f>
        <v xml:space="preserve"> </v>
      </c>
      <c r="V185" s="32"/>
      <c r="W185" s="32"/>
      <c r="X185" s="53"/>
      <c r="Y185" s="21" t="str">
        <f>IFERROR(VLOOKUP(January[[#This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21" t="str">
        <f>IFERROR(VLOOKUP(January[[#This Row],[Drug Name4]],'Data Options'!$R$1:$S$100,2,FALSE), " ")</f>
        <v xml:space="preserve"> </v>
      </c>
      <c r="AI185" s="32"/>
      <c r="AJ185" s="32"/>
      <c r="AK185" s="53"/>
      <c r="AL185" s="21" t="str">
        <f>IFERROR(VLOOKUP(January[[#This Row],[Drug Name5]],'Data Options'!$R$1:$S$100,2,FALSE), " ")</f>
        <v xml:space="preserve"> </v>
      </c>
      <c r="AM185" s="32"/>
      <c r="AN185" s="32"/>
      <c r="AO185" s="53"/>
      <c r="AP185" s="21" t="str">
        <f>IFERROR(VLOOKUP(January[[#This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21" t="str">
        <f>IFERROR(VLOOKUP(January[[#This Row],[Drug Name7]],'Data Options'!$R$1:$S$100,2,FALSE), " ")</f>
        <v xml:space="preserve"> </v>
      </c>
      <c r="AZ185" s="32"/>
      <c r="BA185" s="32"/>
      <c r="BB185" s="53"/>
      <c r="BC185" s="21" t="str">
        <f>IFERROR(VLOOKUP(January[[#This Row],[Drug Name8]],'Data Options'!$R$1:$S$100,2,FALSE), " ")</f>
        <v xml:space="preserve"> </v>
      </c>
      <c r="BD185" s="32"/>
      <c r="BE185" s="32"/>
      <c r="BF185" s="53"/>
      <c r="BG185" s="21" t="str">
        <f>IFERROR(VLOOKUP(January[[#This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21" t="str">
        <f>IFERROR(VLOOKUP(January[[#This Row],[Drug Name]],'Data Options'!$R$1:$S$100,2,FALSE), " ")</f>
        <v xml:space="preserve"> </v>
      </c>
      <c r="R186" s="32"/>
      <c r="S186" s="32"/>
      <c r="T186" s="53"/>
      <c r="U186" s="21" t="str">
        <f>IFERROR(VLOOKUP(January[[#This Row],[Drug Name2]],'Data Options'!$R$1:$S$100,2,FALSE), " ")</f>
        <v xml:space="preserve"> </v>
      </c>
      <c r="V186" s="32"/>
      <c r="W186" s="32"/>
      <c r="X186" s="53"/>
      <c r="Y186" s="21" t="str">
        <f>IFERROR(VLOOKUP(January[[#This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21" t="str">
        <f>IFERROR(VLOOKUP(January[[#This Row],[Drug Name4]],'Data Options'!$R$1:$S$100,2,FALSE), " ")</f>
        <v xml:space="preserve"> </v>
      </c>
      <c r="AI186" s="32"/>
      <c r="AJ186" s="32"/>
      <c r="AK186" s="53"/>
      <c r="AL186" s="21" t="str">
        <f>IFERROR(VLOOKUP(January[[#This Row],[Drug Name5]],'Data Options'!$R$1:$S$100,2,FALSE), " ")</f>
        <v xml:space="preserve"> </v>
      </c>
      <c r="AM186" s="32"/>
      <c r="AN186" s="32"/>
      <c r="AO186" s="53"/>
      <c r="AP186" s="21" t="str">
        <f>IFERROR(VLOOKUP(January[[#This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21" t="str">
        <f>IFERROR(VLOOKUP(January[[#This Row],[Drug Name7]],'Data Options'!$R$1:$S$100,2,FALSE), " ")</f>
        <v xml:space="preserve"> </v>
      </c>
      <c r="AZ186" s="32"/>
      <c r="BA186" s="32"/>
      <c r="BB186" s="53"/>
      <c r="BC186" s="21" t="str">
        <f>IFERROR(VLOOKUP(January[[#This Row],[Drug Name8]],'Data Options'!$R$1:$S$100,2,FALSE), " ")</f>
        <v xml:space="preserve"> </v>
      </c>
      <c r="BD186" s="32"/>
      <c r="BE186" s="32"/>
      <c r="BF186" s="53"/>
      <c r="BG186" s="21" t="str">
        <f>IFERROR(VLOOKUP(January[[#This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21" t="str">
        <f>IFERROR(VLOOKUP(January[[#This Row],[Drug Name]],'Data Options'!$R$1:$S$100,2,FALSE), " ")</f>
        <v xml:space="preserve"> </v>
      </c>
      <c r="R187" s="32"/>
      <c r="S187" s="32"/>
      <c r="T187" s="53"/>
      <c r="U187" s="21" t="str">
        <f>IFERROR(VLOOKUP(January[[#This Row],[Drug Name2]],'Data Options'!$R$1:$S$100,2,FALSE), " ")</f>
        <v xml:space="preserve"> </v>
      </c>
      <c r="V187" s="32"/>
      <c r="W187" s="32"/>
      <c r="X187" s="53"/>
      <c r="Y187" s="21" t="str">
        <f>IFERROR(VLOOKUP(January[[#This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21" t="str">
        <f>IFERROR(VLOOKUP(January[[#This Row],[Drug Name4]],'Data Options'!$R$1:$S$100,2,FALSE), " ")</f>
        <v xml:space="preserve"> </v>
      </c>
      <c r="AI187" s="32"/>
      <c r="AJ187" s="32"/>
      <c r="AK187" s="53"/>
      <c r="AL187" s="21" t="str">
        <f>IFERROR(VLOOKUP(January[[#This Row],[Drug Name5]],'Data Options'!$R$1:$S$100,2,FALSE), " ")</f>
        <v xml:space="preserve"> </v>
      </c>
      <c r="AM187" s="32"/>
      <c r="AN187" s="32"/>
      <c r="AO187" s="53"/>
      <c r="AP187" s="21" t="str">
        <f>IFERROR(VLOOKUP(January[[#This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21" t="str">
        <f>IFERROR(VLOOKUP(January[[#This Row],[Drug Name7]],'Data Options'!$R$1:$S$100,2,FALSE), " ")</f>
        <v xml:space="preserve"> </v>
      </c>
      <c r="AZ187" s="32"/>
      <c r="BA187" s="32"/>
      <c r="BB187" s="53"/>
      <c r="BC187" s="21" t="str">
        <f>IFERROR(VLOOKUP(January[[#This Row],[Drug Name8]],'Data Options'!$R$1:$S$100,2,FALSE), " ")</f>
        <v xml:space="preserve"> </v>
      </c>
      <c r="BD187" s="32"/>
      <c r="BE187" s="32"/>
      <c r="BF187" s="53"/>
      <c r="BG187" s="21" t="str">
        <f>IFERROR(VLOOKUP(January[[#This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21" t="str">
        <f>IFERROR(VLOOKUP(January[[#This Row],[Drug Name]],'Data Options'!$R$1:$S$100,2,FALSE), " ")</f>
        <v xml:space="preserve"> </v>
      </c>
      <c r="R188" s="32"/>
      <c r="S188" s="32"/>
      <c r="T188" s="53"/>
      <c r="U188" s="21" t="str">
        <f>IFERROR(VLOOKUP(January[[#This Row],[Drug Name2]],'Data Options'!$R$1:$S$100,2,FALSE), " ")</f>
        <v xml:space="preserve"> </v>
      </c>
      <c r="V188" s="32"/>
      <c r="W188" s="32"/>
      <c r="X188" s="53"/>
      <c r="Y188" s="21" t="str">
        <f>IFERROR(VLOOKUP(January[[#This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21" t="str">
        <f>IFERROR(VLOOKUP(January[[#This Row],[Drug Name4]],'Data Options'!$R$1:$S$100,2,FALSE), " ")</f>
        <v xml:space="preserve"> </v>
      </c>
      <c r="AI188" s="32"/>
      <c r="AJ188" s="32"/>
      <c r="AK188" s="53"/>
      <c r="AL188" s="21" t="str">
        <f>IFERROR(VLOOKUP(January[[#This Row],[Drug Name5]],'Data Options'!$R$1:$S$100,2,FALSE), " ")</f>
        <v xml:space="preserve"> </v>
      </c>
      <c r="AM188" s="32"/>
      <c r="AN188" s="32"/>
      <c r="AO188" s="53"/>
      <c r="AP188" s="21" t="str">
        <f>IFERROR(VLOOKUP(January[[#This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21" t="str">
        <f>IFERROR(VLOOKUP(January[[#This Row],[Drug Name7]],'Data Options'!$R$1:$S$100,2,FALSE), " ")</f>
        <v xml:space="preserve"> </v>
      </c>
      <c r="AZ188" s="32"/>
      <c r="BA188" s="32"/>
      <c r="BB188" s="53"/>
      <c r="BC188" s="21" t="str">
        <f>IFERROR(VLOOKUP(January[[#This Row],[Drug Name8]],'Data Options'!$R$1:$S$100,2,FALSE), " ")</f>
        <v xml:space="preserve"> </v>
      </c>
      <c r="BD188" s="32"/>
      <c r="BE188" s="32"/>
      <c r="BF188" s="53"/>
      <c r="BG188" s="21" t="str">
        <f>IFERROR(VLOOKUP(January[[#This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21" t="str">
        <f>IFERROR(VLOOKUP(January[[#This Row],[Drug Name]],'Data Options'!$R$1:$S$100,2,FALSE), " ")</f>
        <v xml:space="preserve"> </v>
      </c>
      <c r="R189" s="32"/>
      <c r="S189" s="32"/>
      <c r="T189" s="53"/>
      <c r="U189" s="21" t="str">
        <f>IFERROR(VLOOKUP(January[[#This Row],[Drug Name2]],'Data Options'!$R$1:$S$100,2,FALSE), " ")</f>
        <v xml:space="preserve"> </v>
      </c>
      <c r="V189" s="32"/>
      <c r="W189" s="32"/>
      <c r="X189" s="53"/>
      <c r="Y189" s="21" t="str">
        <f>IFERROR(VLOOKUP(January[[#This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21" t="str">
        <f>IFERROR(VLOOKUP(January[[#This Row],[Drug Name4]],'Data Options'!$R$1:$S$100,2,FALSE), " ")</f>
        <v xml:space="preserve"> </v>
      </c>
      <c r="AI189" s="32"/>
      <c r="AJ189" s="32"/>
      <c r="AK189" s="53"/>
      <c r="AL189" s="21" t="str">
        <f>IFERROR(VLOOKUP(January[[#This Row],[Drug Name5]],'Data Options'!$R$1:$S$100,2,FALSE), " ")</f>
        <v xml:space="preserve"> </v>
      </c>
      <c r="AM189" s="32"/>
      <c r="AN189" s="32"/>
      <c r="AO189" s="53"/>
      <c r="AP189" s="21" t="str">
        <f>IFERROR(VLOOKUP(January[[#This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21" t="str">
        <f>IFERROR(VLOOKUP(January[[#This Row],[Drug Name7]],'Data Options'!$R$1:$S$100,2,FALSE), " ")</f>
        <v xml:space="preserve"> </v>
      </c>
      <c r="AZ189" s="32"/>
      <c r="BA189" s="32"/>
      <c r="BB189" s="53"/>
      <c r="BC189" s="21" t="str">
        <f>IFERROR(VLOOKUP(January[[#This Row],[Drug Name8]],'Data Options'!$R$1:$S$100,2,FALSE), " ")</f>
        <v xml:space="preserve"> </v>
      </c>
      <c r="BD189" s="32"/>
      <c r="BE189" s="32"/>
      <c r="BF189" s="53"/>
      <c r="BG189" s="21" t="str">
        <f>IFERROR(VLOOKUP(January[[#This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21" t="str">
        <f>IFERROR(VLOOKUP(January[[#This Row],[Drug Name]],'Data Options'!$R$1:$S$100,2,FALSE), " ")</f>
        <v xml:space="preserve"> </v>
      </c>
      <c r="R190" s="32"/>
      <c r="S190" s="32"/>
      <c r="T190" s="53"/>
      <c r="U190" s="21" t="str">
        <f>IFERROR(VLOOKUP(January[[#This Row],[Drug Name2]],'Data Options'!$R$1:$S$100,2,FALSE), " ")</f>
        <v xml:space="preserve"> </v>
      </c>
      <c r="V190" s="32"/>
      <c r="W190" s="32"/>
      <c r="X190" s="53"/>
      <c r="Y190" s="21" t="str">
        <f>IFERROR(VLOOKUP(January[[#This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21" t="str">
        <f>IFERROR(VLOOKUP(January[[#This Row],[Drug Name4]],'Data Options'!$R$1:$S$100,2,FALSE), " ")</f>
        <v xml:space="preserve"> </v>
      </c>
      <c r="AI190" s="32"/>
      <c r="AJ190" s="32"/>
      <c r="AK190" s="53"/>
      <c r="AL190" s="21" t="str">
        <f>IFERROR(VLOOKUP(January[[#This Row],[Drug Name5]],'Data Options'!$R$1:$S$100,2,FALSE), " ")</f>
        <v xml:space="preserve"> </v>
      </c>
      <c r="AM190" s="32"/>
      <c r="AN190" s="32"/>
      <c r="AO190" s="53"/>
      <c r="AP190" s="21" t="str">
        <f>IFERROR(VLOOKUP(January[[#This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21" t="str">
        <f>IFERROR(VLOOKUP(January[[#This Row],[Drug Name7]],'Data Options'!$R$1:$S$100,2,FALSE), " ")</f>
        <v xml:space="preserve"> </v>
      </c>
      <c r="AZ190" s="32"/>
      <c r="BA190" s="32"/>
      <c r="BB190" s="53"/>
      <c r="BC190" s="21" t="str">
        <f>IFERROR(VLOOKUP(January[[#This Row],[Drug Name8]],'Data Options'!$R$1:$S$100,2,FALSE), " ")</f>
        <v xml:space="preserve"> </v>
      </c>
      <c r="BD190" s="32"/>
      <c r="BE190" s="32"/>
      <c r="BF190" s="53"/>
      <c r="BG190" s="21" t="str">
        <f>IFERROR(VLOOKUP(January[[#This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21" t="str">
        <f>IFERROR(VLOOKUP(January[[#This Row],[Drug Name]],'Data Options'!$R$1:$S$100,2,FALSE), " ")</f>
        <v xml:space="preserve"> </v>
      </c>
      <c r="R191" s="32"/>
      <c r="S191" s="32"/>
      <c r="T191" s="53"/>
      <c r="U191" s="21" t="str">
        <f>IFERROR(VLOOKUP(January[[#This Row],[Drug Name2]],'Data Options'!$R$1:$S$100,2,FALSE), " ")</f>
        <v xml:space="preserve"> </v>
      </c>
      <c r="V191" s="32"/>
      <c r="W191" s="32"/>
      <c r="X191" s="53"/>
      <c r="Y191" s="21" t="str">
        <f>IFERROR(VLOOKUP(January[[#This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21" t="str">
        <f>IFERROR(VLOOKUP(January[[#This Row],[Drug Name4]],'Data Options'!$R$1:$S$100,2,FALSE), " ")</f>
        <v xml:space="preserve"> </v>
      </c>
      <c r="AI191" s="32"/>
      <c r="AJ191" s="32"/>
      <c r="AK191" s="53"/>
      <c r="AL191" s="21" t="str">
        <f>IFERROR(VLOOKUP(January[[#This Row],[Drug Name5]],'Data Options'!$R$1:$S$100,2,FALSE), " ")</f>
        <v xml:space="preserve"> </v>
      </c>
      <c r="AM191" s="32"/>
      <c r="AN191" s="32"/>
      <c r="AO191" s="53"/>
      <c r="AP191" s="21" t="str">
        <f>IFERROR(VLOOKUP(January[[#This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21" t="str">
        <f>IFERROR(VLOOKUP(January[[#This Row],[Drug Name7]],'Data Options'!$R$1:$S$100,2,FALSE), " ")</f>
        <v xml:space="preserve"> </v>
      </c>
      <c r="AZ191" s="32"/>
      <c r="BA191" s="32"/>
      <c r="BB191" s="53"/>
      <c r="BC191" s="21" t="str">
        <f>IFERROR(VLOOKUP(January[[#This Row],[Drug Name8]],'Data Options'!$R$1:$S$100,2,FALSE), " ")</f>
        <v xml:space="preserve"> </v>
      </c>
      <c r="BD191" s="32"/>
      <c r="BE191" s="32"/>
      <c r="BF191" s="53"/>
      <c r="BG191" s="21" t="str">
        <f>IFERROR(VLOOKUP(January[[#This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21" t="str">
        <f>IFERROR(VLOOKUP(January[[#This Row],[Drug Name]],'Data Options'!$R$1:$S$100,2,FALSE), " ")</f>
        <v xml:space="preserve"> </v>
      </c>
      <c r="R192" s="32"/>
      <c r="S192" s="32"/>
      <c r="T192" s="53"/>
      <c r="U192" s="21" t="str">
        <f>IFERROR(VLOOKUP(January[[#This Row],[Drug Name2]],'Data Options'!$R$1:$S$100,2,FALSE), " ")</f>
        <v xml:space="preserve"> </v>
      </c>
      <c r="V192" s="32"/>
      <c r="W192" s="32"/>
      <c r="X192" s="53"/>
      <c r="Y192" s="21" t="str">
        <f>IFERROR(VLOOKUP(January[[#This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21" t="str">
        <f>IFERROR(VLOOKUP(January[[#This Row],[Drug Name4]],'Data Options'!$R$1:$S$100,2,FALSE), " ")</f>
        <v xml:space="preserve"> </v>
      </c>
      <c r="AI192" s="32"/>
      <c r="AJ192" s="32"/>
      <c r="AK192" s="53"/>
      <c r="AL192" s="21" t="str">
        <f>IFERROR(VLOOKUP(January[[#This Row],[Drug Name5]],'Data Options'!$R$1:$S$100,2,FALSE), " ")</f>
        <v xml:space="preserve"> </v>
      </c>
      <c r="AM192" s="32"/>
      <c r="AN192" s="32"/>
      <c r="AO192" s="53"/>
      <c r="AP192" s="21" t="str">
        <f>IFERROR(VLOOKUP(January[[#This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21" t="str">
        <f>IFERROR(VLOOKUP(January[[#This Row],[Drug Name7]],'Data Options'!$R$1:$S$100,2,FALSE), " ")</f>
        <v xml:space="preserve"> </v>
      </c>
      <c r="AZ192" s="32"/>
      <c r="BA192" s="32"/>
      <c r="BB192" s="53"/>
      <c r="BC192" s="21" t="str">
        <f>IFERROR(VLOOKUP(January[[#This Row],[Drug Name8]],'Data Options'!$R$1:$S$100,2,FALSE), " ")</f>
        <v xml:space="preserve"> </v>
      </c>
      <c r="BD192" s="32"/>
      <c r="BE192" s="32"/>
      <c r="BF192" s="53"/>
      <c r="BG192" s="21" t="str">
        <f>IFERROR(VLOOKUP(January[[#This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21" t="str">
        <f>IFERROR(VLOOKUP(January[[#This Row],[Drug Name]],'Data Options'!$R$1:$S$100,2,FALSE), " ")</f>
        <v xml:space="preserve"> </v>
      </c>
      <c r="R193" s="32"/>
      <c r="S193" s="32"/>
      <c r="T193" s="53"/>
      <c r="U193" s="21" t="str">
        <f>IFERROR(VLOOKUP(January[[#This Row],[Drug Name2]],'Data Options'!$R$1:$S$100,2,FALSE), " ")</f>
        <v xml:space="preserve"> </v>
      </c>
      <c r="V193" s="32"/>
      <c r="W193" s="32"/>
      <c r="X193" s="53"/>
      <c r="Y193" s="21" t="str">
        <f>IFERROR(VLOOKUP(January[[#This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21" t="str">
        <f>IFERROR(VLOOKUP(January[[#This Row],[Drug Name4]],'Data Options'!$R$1:$S$100,2,FALSE), " ")</f>
        <v xml:space="preserve"> </v>
      </c>
      <c r="AI193" s="32"/>
      <c r="AJ193" s="32"/>
      <c r="AK193" s="53"/>
      <c r="AL193" s="21" t="str">
        <f>IFERROR(VLOOKUP(January[[#This Row],[Drug Name5]],'Data Options'!$R$1:$S$100,2,FALSE), " ")</f>
        <v xml:space="preserve"> </v>
      </c>
      <c r="AM193" s="32"/>
      <c r="AN193" s="32"/>
      <c r="AO193" s="53"/>
      <c r="AP193" s="21" t="str">
        <f>IFERROR(VLOOKUP(January[[#This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21" t="str">
        <f>IFERROR(VLOOKUP(January[[#This Row],[Drug Name7]],'Data Options'!$R$1:$S$100,2,FALSE), " ")</f>
        <v xml:space="preserve"> </v>
      </c>
      <c r="AZ193" s="32"/>
      <c r="BA193" s="32"/>
      <c r="BB193" s="53"/>
      <c r="BC193" s="21" t="str">
        <f>IFERROR(VLOOKUP(January[[#This Row],[Drug Name8]],'Data Options'!$R$1:$S$100,2,FALSE), " ")</f>
        <v xml:space="preserve"> </v>
      </c>
      <c r="BD193" s="32"/>
      <c r="BE193" s="32"/>
      <c r="BF193" s="53"/>
      <c r="BG193" s="21" t="str">
        <f>IFERROR(VLOOKUP(January[[#This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21" t="str">
        <f>IFERROR(VLOOKUP(January[[#This Row],[Drug Name]],'Data Options'!$R$1:$S$100,2,FALSE), " ")</f>
        <v xml:space="preserve"> </v>
      </c>
      <c r="R194" s="32"/>
      <c r="S194" s="32"/>
      <c r="T194" s="53"/>
      <c r="U194" s="21" t="str">
        <f>IFERROR(VLOOKUP(January[[#This Row],[Drug Name2]],'Data Options'!$R$1:$S$100,2,FALSE), " ")</f>
        <v xml:space="preserve"> </v>
      </c>
      <c r="V194" s="32"/>
      <c r="W194" s="32"/>
      <c r="X194" s="53"/>
      <c r="Y194" s="21" t="str">
        <f>IFERROR(VLOOKUP(January[[#This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21" t="str">
        <f>IFERROR(VLOOKUP(January[[#This Row],[Drug Name4]],'Data Options'!$R$1:$S$100,2,FALSE), " ")</f>
        <v xml:space="preserve"> </v>
      </c>
      <c r="AI194" s="32"/>
      <c r="AJ194" s="32"/>
      <c r="AK194" s="53"/>
      <c r="AL194" s="21" t="str">
        <f>IFERROR(VLOOKUP(January[[#This Row],[Drug Name5]],'Data Options'!$R$1:$S$100,2,FALSE), " ")</f>
        <v xml:space="preserve"> </v>
      </c>
      <c r="AM194" s="32"/>
      <c r="AN194" s="32"/>
      <c r="AO194" s="53"/>
      <c r="AP194" s="21" t="str">
        <f>IFERROR(VLOOKUP(January[[#This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21" t="str">
        <f>IFERROR(VLOOKUP(January[[#This Row],[Drug Name7]],'Data Options'!$R$1:$S$100,2,FALSE), " ")</f>
        <v xml:space="preserve"> </v>
      </c>
      <c r="AZ194" s="32"/>
      <c r="BA194" s="32"/>
      <c r="BB194" s="53"/>
      <c r="BC194" s="21" t="str">
        <f>IFERROR(VLOOKUP(January[[#This Row],[Drug Name8]],'Data Options'!$R$1:$S$100,2,FALSE), " ")</f>
        <v xml:space="preserve"> </v>
      </c>
      <c r="BD194" s="32"/>
      <c r="BE194" s="32"/>
      <c r="BF194" s="53"/>
      <c r="BG194" s="21" t="str">
        <f>IFERROR(VLOOKUP(January[[#This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21" t="str">
        <f>IFERROR(VLOOKUP(January[[#This Row],[Drug Name]],'Data Options'!$R$1:$S$100,2,FALSE), " ")</f>
        <v xml:space="preserve"> </v>
      </c>
      <c r="R195" s="32"/>
      <c r="S195" s="32"/>
      <c r="T195" s="53"/>
      <c r="U195" s="21" t="str">
        <f>IFERROR(VLOOKUP(January[[#This Row],[Drug Name2]],'Data Options'!$R$1:$S$100,2,FALSE), " ")</f>
        <v xml:space="preserve"> </v>
      </c>
      <c r="V195" s="32"/>
      <c r="W195" s="32"/>
      <c r="X195" s="53"/>
      <c r="Y195" s="21" t="str">
        <f>IFERROR(VLOOKUP(January[[#This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21" t="str">
        <f>IFERROR(VLOOKUP(January[[#This Row],[Drug Name4]],'Data Options'!$R$1:$S$100,2,FALSE), " ")</f>
        <v xml:space="preserve"> </v>
      </c>
      <c r="AI195" s="32"/>
      <c r="AJ195" s="32"/>
      <c r="AK195" s="53"/>
      <c r="AL195" s="21" t="str">
        <f>IFERROR(VLOOKUP(January[[#This Row],[Drug Name5]],'Data Options'!$R$1:$S$100,2,FALSE), " ")</f>
        <v xml:space="preserve"> </v>
      </c>
      <c r="AM195" s="32"/>
      <c r="AN195" s="32"/>
      <c r="AO195" s="53"/>
      <c r="AP195" s="21" t="str">
        <f>IFERROR(VLOOKUP(January[[#This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21" t="str">
        <f>IFERROR(VLOOKUP(January[[#This Row],[Drug Name7]],'Data Options'!$R$1:$S$100,2,FALSE), " ")</f>
        <v xml:space="preserve"> </v>
      </c>
      <c r="AZ195" s="32"/>
      <c r="BA195" s="32"/>
      <c r="BB195" s="53"/>
      <c r="BC195" s="21" t="str">
        <f>IFERROR(VLOOKUP(January[[#This Row],[Drug Name8]],'Data Options'!$R$1:$S$100,2,FALSE), " ")</f>
        <v xml:space="preserve"> </v>
      </c>
      <c r="BD195" s="32"/>
      <c r="BE195" s="32"/>
      <c r="BF195" s="53"/>
      <c r="BG195" s="21" t="str">
        <f>IFERROR(VLOOKUP(January[[#This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21" t="str">
        <f>IFERROR(VLOOKUP(January[[#This Row],[Drug Name]],'Data Options'!$R$1:$S$100,2,FALSE), " ")</f>
        <v xml:space="preserve"> </v>
      </c>
      <c r="R196" s="32"/>
      <c r="S196" s="32"/>
      <c r="T196" s="53"/>
      <c r="U196" s="21" t="str">
        <f>IFERROR(VLOOKUP(January[[#This Row],[Drug Name2]],'Data Options'!$R$1:$S$100,2,FALSE), " ")</f>
        <v xml:space="preserve"> </v>
      </c>
      <c r="V196" s="32"/>
      <c r="W196" s="32"/>
      <c r="X196" s="53"/>
      <c r="Y196" s="21" t="str">
        <f>IFERROR(VLOOKUP(January[[#This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21" t="str">
        <f>IFERROR(VLOOKUP(January[[#This Row],[Drug Name4]],'Data Options'!$R$1:$S$100,2,FALSE), " ")</f>
        <v xml:space="preserve"> </v>
      </c>
      <c r="AI196" s="32"/>
      <c r="AJ196" s="32"/>
      <c r="AK196" s="53"/>
      <c r="AL196" s="21" t="str">
        <f>IFERROR(VLOOKUP(January[[#This Row],[Drug Name5]],'Data Options'!$R$1:$S$100,2,FALSE), " ")</f>
        <v xml:space="preserve"> </v>
      </c>
      <c r="AM196" s="32"/>
      <c r="AN196" s="32"/>
      <c r="AO196" s="53"/>
      <c r="AP196" s="21" t="str">
        <f>IFERROR(VLOOKUP(January[[#This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21" t="str">
        <f>IFERROR(VLOOKUP(January[[#This Row],[Drug Name7]],'Data Options'!$R$1:$S$100,2,FALSE), " ")</f>
        <v xml:space="preserve"> </v>
      </c>
      <c r="AZ196" s="32"/>
      <c r="BA196" s="32"/>
      <c r="BB196" s="53"/>
      <c r="BC196" s="21" t="str">
        <f>IFERROR(VLOOKUP(January[[#This Row],[Drug Name8]],'Data Options'!$R$1:$S$100,2,FALSE), " ")</f>
        <v xml:space="preserve"> </v>
      </c>
      <c r="BD196" s="32"/>
      <c r="BE196" s="32"/>
      <c r="BF196" s="53"/>
      <c r="BG196" s="21" t="str">
        <f>IFERROR(VLOOKUP(January[[#This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21" t="str">
        <f>IFERROR(VLOOKUP(January[[#This Row],[Drug Name]],'Data Options'!$R$1:$S$100,2,FALSE), " ")</f>
        <v xml:space="preserve"> </v>
      </c>
      <c r="R197" s="32"/>
      <c r="S197" s="32"/>
      <c r="T197" s="53"/>
      <c r="U197" s="21" t="str">
        <f>IFERROR(VLOOKUP(January[[#This Row],[Drug Name2]],'Data Options'!$R$1:$S$100,2,FALSE), " ")</f>
        <v xml:space="preserve"> </v>
      </c>
      <c r="V197" s="32"/>
      <c r="W197" s="32"/>
      <c r="X197" s="53"/>
      <c r="Y197" s="21" t="str">
        <f>IFERROR(VLOOKUP(January[[#This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21" t="str">
        <f>IFERROR(VLOOKUP(January[[#This Row],[Drug Name4]],'Data Options'!$R$1:$S$100,2,FALSE), " ")</f>
        <v xml:space="preserve"> </v>
      </c>
      <c r="AI197" s="32"/>
      <c r="AJ197" s="32"/>
      <c r="AK197" s="53"/>
      <c r="AL197" s="21" t="str">
        <f>IFERROR(VLOOKUP(January[[#This Row],[Drug Name5]],'Data Options'!$R$1:$S$100,2,FALSE), " ")</f>
        <v xml:space="preserve"> </v>
      </c>
      <c r="AM197" s="32"/>
      <c r="AN197" s="32"/>
      <c r="AO197" s="53"/>
      <c r="AP197" s="21" t="str">
        <f>IFERROR(VLOOKUP(January[[#This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21" t="str">
        <f>IFERROR(VLOOKUP(January[[#This Row],[Drug Name7]],'Data Options'!$R$1:$S$100,2,FALSE), " ")</f>
        <v xml:space="preserve"> </v>
      </c>
      <c r="AZ197" s="32"/>
      <c r="BA197" s="32"/>
      <c r="BB197" s="53"/>
      <c r="BC197" s="21" t="str">
        <f>IFERROR(VLOOKUP(January[[#This Row],[Drug Name8]],'Data Options'!$R$1:$S$100,2,FALSE), " ")</f>
        <v xml:space="preserve"> </v>
      </c>
      <c r="BD197" s="32"/>
      <c r="BE197" s="32"/>
      <c r="BF197" s="53"/>
      <c r="BG197" s="21" t="str">
        <f>IFERROR(VLOOKUP(January[[#This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21" t="str">
        <f>IFERROR(VLOOKUP(January[[#This Row],[Drug Name]],'Data Options'!$R$1:$S$100,2,FALSE), " ")</f>
        <v xml:space="preserve"> </v>
      </c>
      <c r="R198" s="32"/>
      <c r="S198" s="32"/>
      <c r="T198" s="53"/>
      <c r="U198" s="21" t="str">
        <f>IFERROR(VLOOKUP(January[[#This Row],[Drug Name2]],'Data Options'!$R$1:$S$100,2,FALSE), " ")</f>
        <v xml:space="preserve"> </v>
      </c>
      <c r="V198" s="32"/>
      <c r="W198" s="32"/>
      <c r="X198" s="53"/>
      <c r="Y198" s="21" t="str">
        <f>IFERROR(VLOOKUP(January[[#This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21" t="str">
        <f>IFERROR(VLOOKUP(January[[#This Row],[Drug Name4]],'Data Options'!$R$1:$S$100,2,FALSE), " ")</f>
        <v xml:space="preserve"> </v>
      </c>
      <c r="AI198" s="32"/>
      <c r="AJ198" s="32"/>
      <c r="AK198" s="53"/>
      <c r="AL198" s="21" t="str">
        <f>IFERROR(VLOOKUP(January[[#This Row],[Drug Name5]],'Data Options'!$R$1:$S$100,2,FALSE), " ")</f>
        <v xml:space="preserve"> </v>
      </c>
      <c r="AM198" s="32"/>
      <c r="AN198" s="32"/>
      <c r="AO198" s="53"/>
      <c r="AP198" s="21" t="str">
        <f>IFERROR(VLOOKUP(January[[#This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21" t="str">
        <f>IFERROR(VLOOKUP(January[[#This Row],[Drug Name7]],'Data Options'!$R$1:$S$100,2,FALSE), " ")</f>
        <v xml:space="preserve"> </v>
      </c>
      <c r="AZ198" s="32"/>
      <c r="BA198" s="32"/>
      <c r="BB198" s="53"/>
      <c r="BC198" s="21" t="str">
        <f>IFERROR(VLOOKUP(January[[#This Row],[Drug Name8]],'Data Options'!$R$1:$S$100,2,FALSE), " ")</f>
        <v xml:space="preserve"> </v>
      </c>
      <c r="BD198" s="32"/>
      <c r="BE198" s="32"/>
      <c r="BF198" s="53"/>
      <c r="BG198" s="21" t="str">
        <f>IFERROR(VLOOKUP(January[[#This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21" t="str">
        <f>IFERROR(VLOOKUP(January[[#This Row],[Drug Name]],'Data Options'!$R$1:$S$100,2,FALSE), " ")</f>
        <v xml:space="preserve"> </v>
      </c>
      <c r="R199" s="32"/>
      <c r="S199" s="32"/>
      <c r="T199" s="53"/>
      <c r="U199" s="21" t="str">
        <f>IFERROR(VLOOKUP(January[[#This Row],[Drug Name2]],'Data Options'!$R$1:$S$100,2,FALSE), " ")</f>
        <v xml:space="preserve"> </v>
      </c>
      <c r="V199" s="32"/>
      <c r="W199" s="32"/>
      <c r="X199" s="53"/>
      <c r="Y199" s="21" t="str">
        <f>IFERROR(VLOOKUP(January[[#This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21" t="str">
        <f>IFERROR(VLOOKUP(January[[#This Row],[Drug Name4]],'Data Options'!$R$1:$S$100,2,FALSE), " ")</f>
        <v xml:space="preserve"> </v>
      </c>
      <c r="AI199" s="32"/>
      <c r="AJ199" s="32"/>
      <c r="AK199" s="53"/>
      <c r="AL199" s="21" t="str">
        <f>IFERROR(VLOOKUP(January[[#This Row],[Drug Name5]],'Data Options'!$R$1:$S$100,2,FALSE), " ")</f>
        <v xml:space="preserve"> </v>
      </c>
      <c r="AM199" s="32"/>
      <c r="AN199" s="32"/>
      <c r="AO199" s="53"/>
      <c r="AP199" s="21" t="str">
        <f>IFERROR(VLOOKUP(January[[#This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21" t="str">
        <f>IFERROR(VLOOKUP(January[[#This Row],[Drug Name7]],'Data Options'!$R$1:$S$100,2,FALSE), " ")</f>
        <v xml:space="preserve"> </v>
      </c>
      <c r="AZ199" s="32"/>
      <c r="BA199" s="32"/>
      <c r="BB199" s="53"/>
      <c r="BC199" s="21" t="str">
        <f>IFERROR(VLOOKUP(January[[#This Row],[Drug Name8]],'Data Options'!$R$1:$S$100,2,FALSE), " ")</f>
        <v xml:space="preserve"> </v>
      </c>
      <c r="BD199" s="32"/>
      <c r="BE199" s="32"/>
      <c r="BF199" s="53"/>
      <c r="BG199" s="21" t="str">
        <f>IFERROR(VLOOKUP(January[[#This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21" t="str">
        <f>IFERROR(VLOOKUP(January[[#This Row],[Drug Name]],'Data Options'!$R$1:$S$100,2,FALSE), " ")</f>
        <v xml:space="preserve"> </v>
      </c>
      <c r="R200" s="32"/>
      <c r="S200" s="32"/>
      <c r="T200" s="53"/>
      <c r="U200" s="21" t="str">
        <f>IFERROR(VLOOKUP(January[[#This Row],[Drug Name2]],'Data Options'!$R$1:$S$100,2,FALSE), " ")</f>
        <v xml:space="preserve"> </v>
      </c>
      <c r="V200" s="32"/>
      <c r="W200" s="32"/>
      <c r="X200" s="53"/>
      <c r="Y200" s="21" t="str">
        <f>IFERROR(VLOOKUP(January[[#This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21" t="str">
        <f>IFERROR(VLOOKUP(January[[#This Row],[Drug Name4]],'Data Options'!$R$1:$S$100,2,FALSE), " ")</f>
        <v xml:space="preserve"> </v>
      </c>
      <c r="AI200" s="32"/>
      <c r="AJ200" s="32"/>
      <c r="AK200" s="53"/>
      <c r="AL200" s="21" t="str">
        <f>IFERROR(VLOOKUP(January[[#This Row],[Drug Name5]],'Data Options'!$R$1:$S$100,2,FALSE), " ")</f>
        <v xml:space="preserve"> </v>
      </c>
      <c r="AM200" s="32"/>
      <c r="AN200" s="32"/>
      <c r="AO200" s="53"/>
      <c r="AP200" s="21" t="str">
        <f>IFERROR(VLOOKUP(January[[#This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21" t="str">
        <f>IFERROR(VLOOKUP(January[[#This Row],[Drug Name7]],'Data Options'!$R$1:$S$100,2,FALSE), " ")</f>
        <v xml:space="preserve"> </v>
      </c>
      <c r="AZ200" s="32"/>
      <c r="BA200" s="32"/>
      <c r="BB200" s="53"/>
      <c r="BC200" s="21" t="str">
        <f>IFERROR(VLOOKUP(January[[#This Row],[Drug Name8]],'Data Options'!$R$1:$S$100,2,FALSE), " ")</f>
        <v xml:space="preserve"> </v>
      </c>
      <c r="BD200" s="32"/>
      <c r="BE200" s="32"/>
      <c r="BF200" s="53"/>
      <c r="BG200" s="21" t="str">
        <f>IFERROR(VLOOKUP(January[[#This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21" t="str">
        <f>IFERROR(VLOOKUP(January[[#This Row],[Drug Name]],'Data Options'!$R$1:$S$100,2,FALSE), " ")</f>
        <v xml:space="preserve"> </v>
      </c>
      <c r="R201" s="32"/>
      <c r="S201" s="32"/>
      <c r="T201" s="53"/>
      <c r="U201" s="21" t="str">
        <f>IFERROR(VLOOKUP(January[[#This Row],[Drug Name2]],'Data Options'!$R$1:$S$100,2,FALSE), " ")</f>
        <v xml:space="preserve"> </v>
      </c>
      <c r="V201" s="32"/>
      <c r="W201" s="32"/>
      <c r="X201" s="53"/>
      <c r="Y201" s="21" t="str">
        <f>IFERROR(VLOOKUP(January[[#This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21" t="str">
        <f>IFERROR(VLOOKUP(January[[#This Row],[Drug Name4]],'Data Options'!$R$1:$S$100,2,FALSE), " ")</f>
        <v xml:space="preserve"> </v>
      </c>
      <c r="AI201" s="32"/>
      <c r="AJ201" s="32"/>
      <c r="AK201" s="53"/>
      <c r="AL201" s="21" t="str">
        <f>IFERROR(VLOOKUP(January[[#This Row],[Drug Name5]],'Data Options'!$R$1:$S$100,2,FALSE), " ")</f>
        <v xml:space="preserve"> </v>
      </c>
      <c r="AM201" s="32"/>
      <c r="AN201" s="32"/>
      <c r="AO201" s="53"/>
      <c r="AP201" s="21" t="str">
        <f>IFERROR(VLOOKUP(January[[#This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21" t="str">
        <f>IFERROR(VLOOKUP(January[[#This Row],[Drug Name7]],'Data Options'!$R$1:$S$100,2,FALSE), " ")</f>
        <v xml:space="preserve"> </v>
      </c>
      <c r="AZ201" s="32"/>
      <c r="BA201" s="32"/>
      <c r="BB201" s="53"/>
      <c r="BC201" s="21" t="str">
        <f>IFERROR(VLOOKUP(January[[#This Row],[Drug Name8]],'Data Options'!$R$1:$S$100,2,FALSE), " ")</f>
        <v xml:space="preserve"> </v>
      </c>
      <c r="BD201" s="32"/>
      <c r="BE201" s="32"/>
      <c r="BF201" s="53"/>
      <c r="BG201" s="21" t="str">
        <f>IFERROR(VLOOKUP(January[[#This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3DW+2oQbHAjTQi/aDmlFmuXxwHkVqVKjTWEUOaD3C3zkOZQWtBw4iJvUN+Zi5NNInwTUkDt3Y6Lux2RJv/iqpw==" saltValue="hL6LokihmuCe3+GkmV5XeQ==" spinCount="100000" sheet="1" objects="1" scenarios="1"/>
  <mergeCells count="13">
    <mergeCell ref="AG2:AJ2"/>
    <mergeCell ref="AX2:BA2"/>
    <mergeCell ref="BB2:BE2"/>
    <mergeCell ref="BF2:BI2"/>
    <mergeCell ref="AB1:AF2"/>
    <mergeCell ref="AS1:AW2"/>
    <mergeCell ref="AO2:AR2"/>
    <mergeCell ref="A1:J2"/>
    <mergeCell ref="K1:Y1"/>
    <mergeCell ref="K2:O2"/>
    <mergeCell ref="P2:S2"/>
    <mergeCell ref="T2:W2"/>
    <mergeCell ref="X2:AA2"/>
  </mergeCells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zoomScale="108" workbookViewId="0">
      <selection activeCell="D15" sqref="D15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43862</v>
      </c>
      <c r="B4" s="52" t="s">
        <v>314</v>
      </c>
      <c r="C4" s="32">
        <v>20011</v>
      </c>
      <c r="D4" s="32" t="s">
        <v>12</v>
      </c>
      <c r="E4" s="32" t="s">
        <v>17</v>
      </c>
      <c r="F4" s="32" t="s">
        <v>220</v>
      </c>
      <c r="G4" s="32" t="s">
        <v>149</v>
      </c>
      <c r="H4" s="32"/>
      <c r="I4" s="32" t="s">
        <v>22</v>
      </c>
      <c r="J4" s="32">
        <v>1</v>
      </c>
      <c r="K4" s="32" t="s">
        <v>99</v>
      </c>
      <c r="L4" s="32"/>
      <c r="M4" s="32">
        <v>1</v>
      </c>
      <c r="N4" s="31" t="s">
        <v>23</v>
      </c>
      <c r="O4" s="31" t="s">
        <v>23</v>
      </c>
      <c r="P4" s="53" t="s">
        <v>30</v>
      </c>
      <c r="Q4" s="21" t="str">
        <f>IFERROR(VLOOKUP(February[[#This Row],[Drug Name]],'Data Options'!$R$1:$S$100,2,FALSE), " ")</f>
        <v>Cephalosporins</v>
      </c>
      <c r="R4" s="32" t="s">
        <v>122</v>
      </c>
      <c r="S4" s="32" t="s">
        <v>96</v>
      </c>
      <c r="T4" s="53"/>
      <c r="U4" s="21" t="str">
        <f>IFERROR(VLOOKUP(February[[#This Row],[Drug Name2]],'Data Options'!$R$1:$S$100,2,FALSE), " ")</f>
        <v xml:space="preserve"> </v>
      </c>
      <c r="V4" s="32"/>
      <c r="W4" s="32"/>
      <c r="X4" s="53"/>
      <c r="Y4" s="21" t="str">
        <f>IFERROR(VLOOKUP(February[[#This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21" t="str">
        <f>IFERROR(VLOOKUP(February[[#This Row],[Drug Name4]],'Data Options'!$R$1:$S$100,2,FALSE), " ")</f>
        <v xml:space="preserve"> </v>
      </c>
      <c r="AI4" s="32"/>
      <c r="AJ4" s="32"/>
      <c r="AK4" s="53"/>
      <c r="AL4" s="21" t="str">
        <f>IFERROR(VLOOKUP(February[[#This Row],[Drug Name5]],'Data Options'!$R$1:$S$100,2,FALSE), " ")</f>
        <v xml:space="preserve"> </v>
      </c>
      <c r="AM4" s="32"/>
      <c r="AN4" s="32"/>
      <c r="AO4" s="53"/>
      <c r="AP4" s="21" t="str">
        <f>IFERROR(VLOOKUP(February[[#This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21" t="str">
        <f>IFERROR(VLOOKUP(February[[#This Row],[Drug Name7]],'Data Options'!$R$1:$S$100,2,FALSE), " ")</f>
        <v xml:space="preserve"> </v>
      </c>
      <c r="AZ4" s="32"/>
      <c r="BA4" s="32"/>
      <c r="BB4" s="53"/>
      <c r="BC4" s="21" t="str">
        <f>IFERROR(VLOOKUP(February[[#This Row],[Drug Name8]],'Data Options'!$R$1:$S$100,2,FALSE), " ")</f>
        <v xml:space="preserve"> </v>
      </c>
      <c r="BD4" s="32"/>
      <c r="BE4" s="32"/>
      <c r="BF4" s="53"/>
      <c r="BG4" s="21" t="str">
        <f>IFERROR(VLOOKUP(February[[#This Row],[Drug Name9]],'Data Options'!$R$1:$S$100,2,FALSE), " ")</f>
        <v xml:space="preserve"> </v>
      </c>
      <c r="BH4" s="32"/>
      <c r="BI4" s="32"/>
    </row>
    <row r="5" spans="1:61">
      <c r="A5" s="51">
        <v>43862</v>
      </c>
      <c r="B5" s="52" t="s">
        <v>314</v>
      </c>
      <c r="C5" s="32">
        <v>20012</v>
      </c>
      <c r="D5" s="32" t="s">
        <v>13</v>
      </c>
      <c r="E5" s="32" t="s">
        <v>15</v>
      </c>
      <c r="F5" s="32" t="s">
        <v>219</v>
      </c>
      <c r="G5" s="32" t="s">
        <v>20</v>
      </c>
      <c r="H5" s="32"/>
      <c r="I5" s="32" t="s">
        <v>247</v>
      </c>
      <c r="J5" s="32">
        <v>0</v>
      </c>
      <c r="K5" s="32" t="s">
        <v>277</v>
      </c>
      <c r="L5" s="32"/>
      <c r="M5" s="32"/>
      <c r="N5" s="31" t="s">
        <v>23</v>
      </c>
      <c r="O5" s="31" t="s">
        <v>23</v>
      </c>
      <c r="P5" s="53"/>
      <c r="Q5" s="21" t="str">
        <f>IFERROR(VLOOKUP(February[[#This Row],[Drug Name]],'Data Options'!$R$1:$S$100,2,FALSE), " ")</f>
        <v xml:space="preserve"> </v>
      </c>
      <c r="R5" s="32"/>
      <c r="S5" s="32"/>
      <c r="T5" s="53"/>
      <c r="U5" s="21" t="str">
        <f>IFERROR(VLOOKUP(February[[#This Row],[Drug Name2]],'Data Options'!$R$1:$S$100,2,FALSE), " ")</f>
        <v xml:space="preserve"> </v>
      </c>
      <c r="V5" s="32"/>
      <c r="W5" s="32"/>
      <c r="X5" s="53"/>
      <c r="Y5" s="21" t="str">
        <f>IFERROR(VLOOKUP(February[[#This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21" t="str">
        <f>IFERROR(VLOOKUP(February[[#This Row],[Drug Name4]],'Data Options'!$R$1:$S$100,2,FALSE), " ")</f>
        <v xml:space="preserve"> </v>
      </c>
      <c r="AI5" s="32"/>
      <c r="AJ5" s="32"/>
      <c r="AK5" s="53"/>
      <c r="AL5" s="21" t="str">
        <f>IFERROR(VLOOKUP(February[[#This Row],[Drug Name5]],'Data Options'!$R$1:$S$100,2,FALSE), " ")</f>
        <v xml:space="preserve"> </v>
      </c>
      <c r="AM5" s="32"/>
      <c r="AN5" s="32"/>
      <c r="AO5" s="53"/>
      <c r="AP5" s="21" t="str">
        <f>IFERROR(VLOOKUP(February[[#This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21" t="str">
        <f>IFERROR(VLOOKUP(February[[#This Row],[Drug Name7]],'Data Options'!$R$1:$S$100,2,FALSE), " ")</f>
        <v xml:space="preserve"> </v>
      </c>
      <c r="AZ5" s="32"/>
      <c r="BA5" s="32"/>
      <c r="BB5" s="53"/>
      <c r="BC5" s="21" t="str">
        <f>IFERROR(VLOOKUP(February[[#This Row],[Drug Name8]],'Data Options'!$R$1:$S$100,2,FALSE), " ")</f>
        <v xml:space="preserve"> </v>
      </c>
      <c r="BD5" s="32"/>
      <c r="BE5" s="32"/>
      <c r="BF5" s="53"/>
      <c r="BG5" s="21" t="str">
        <f>IFERROR(VLOOKUP(February[[#This Row],[Drug Name9]],'Data Options'!$R$1:$S$100,2,FALSE), " ")</f>
        <v xml:space="preserve"> </v>
      </c>
      <c r="BH5" s="32"/>
      <c r="BI5" s="32"/>
    </row>
    <row r="6" spans="1:61" ht="62">
      <c r="A6" s="51">
        <v>43863</v>
      </c>
      <c r="B6" s="52" t="s">
        <v>314</v>
      </c>
      <c r="C6" s="32">
        <v>20013</v>
      </c>
      <c r="D6" s="32" t="s">
        <v>13</v>
      </c>
      <c r="E6" s="32" t="s">
        <v>17</v>
      </c>
      <c r="F6" s="32" t="s">
        <v>221</v>
      </c>
      <c r="G6" s="32" t="s">
        <v>19</v>
      </c>
      <c r="H6" s="32"/>
      <c r="I6" s="32" t="s">
        <v>22</v>
      </c>
      <c r="J6" s="32">
        <v>2</v>
      </c>
      <c r="K6" s="32" t="s">
        <v>276</v>
      </c>
      <c r="L6" s="32"/>
      <c r="M6" s="32">
        <v>1</v>
      </c>
      <c r="N6" s="31" t="s">
        <v>22</v>
      </c>
      <c r="O6" s="31" t="s">
        <v>22</v>
      </c>
      <c r="P6" s="53" t="s">
        <v>26</v>
      </c>
      <c r="Q6" s="21" t="str">
        <f>IFERROR(VLOOKUP(February[[#This Row],[Drug Name]],'Data Options'!$R$1:$S$100,2,FALSE), " ")</f>
        <v>Penicillins</v>
      </c>
      <c r="R6" s="32" t="s">
        <v>92</v>
      </c>
      <c r="S6" s="32" t="s">
        <v>89</v>
      </c>
      <c r="T6" s="53"/>
      <c r="U6" s="21" t="str">
        <f>IFERROR(VLOOKUP(February[[#This Row],[Drug Name2]],'Data Options'!$R$1:$S$100,2,FALSE), " ")</f>
        <v xml:space="preserve"> </v>
      </c>
      <c r="V6" s="32"/>
      <c r="W6" s="32"/>
      <c r="X6" s="53"/>
      <c r="Y6" s="21" t="str">
        <f>IFERROR(VLOOKUP(February[[#This Row],[Drug Name3]],'Data Options'!$R$1:$S$100,2,FALSE), " ")</f>
        <v xml:space="preserve"> </v>
      </c>
      <c r="Z6" s="32"/>
      <c r="AA6" s="32"/>
      <c r="AB6" s="32" t="s">
        <v>291</v>
      </c>
      <c r="AC6" s="32"/>
      <c r="AD6" s="32">
        <v>1</v>
      </c>
      <c r="AE6" s="31" t="s">
        <v>22</v>
      </c>
      <c r="AF6" s="31" t="s">
        <v>22</v>
      </c>
      <c r="AG6" s="53" t="s">
        <v>308</v>
      </c>
      <c r="AH6" s="21" t="str">
        <f>IFERROR(VLOOKUP(February[[#This Row],[Drug Name4]],'Data Options'!$R$1:$S$100,2,FALSE), " ")</f>
        <v>Otic</v>
      </c>
      <c r="AI6" s="32" t="s">
        <v>21</v>
      </c>
      <c r="AJ6" s="32" t="s">
        <v>98</v>
      </c>
      <c r="AK6" s="53"/>
      <c r="AL6" s="21" t="str">
        <f>IFERROR(VLOOKUP(February[[#This Row],[Drug Name5]],'Data Options'!$R$1:$S$100,2,FALSE), " ")</f>
        <v xml:space="preserve"> </v>
      </c>
      <c r="AM6" s="32"/>
      <c r="AN6" s="32"/>
      <c r="AO6" s="53"/>
      <c r="AP6" s="21" t="str">
        <f>IFERROR(VLOOKUP(February[[#This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21" t="str">
        <f>IFERROR(VLOOKUP(February[[#This Row],[Drug Name7]],'Data Options'!$R$1:$S$100,2,FALSE), " ")</f>
        <v xml:space="preserve"> </v>
      </c>
      <c r="AZ6" s="32"/>
      <c r="BA6" s="32"/>
      <c r="BB6" s="53"/>
      <c r="BC6" s="21" t="str">
        <f>IFERROR(VLOOKUP(February[[#This Row],[Drug Name8]],'Data Options'!$R$1:$S$100,2,FALSE), " ")</f>
        <v xml:space="preserve"> </v>
      </c>
      <c r="BD6" s="32"/>
      <c r="BE6" s="32"/>
      <c r="BF6" s="53"/>
      <c r="BG6" s="21" t="str">
        <f>IFERROR(VLOOKUP(February[[#This Row],[Drug Name9]],'Data Options'!$R$1:$S$100,2,FALSE), " ")</f>
        <v xml:space="preserve"> </v>
      </c>
      <c r="BH6" s="32"/>
      <c r="BI6" s="32"/>
    </row>
    <row r="7" spans="1:61">
      <c r="A7" s="51">
        <v>43863</v>
      </c>
      <c r="B7" s="52" t="s">
        <v>314</v>
      </c>
      <c r="C7" s="32">
        <v>20014</v>
      </c>
      <c r="D7" s="32" t="s">
        <v>12</v>
      </c>
      <c r="E7" s="32" t="s">
        <v>14</v>
      </c>
      <c r="F7" s="32" t="s">
        <v>218</v>
      </c>
      <c r="G7" s="32" t="s">
        <v>20</v>
      </c>
      <c r="H7" s="32"/>
      <c r="I7" s="32" t="s">
        <v>22</v>
      </c>
      <c r="J7" s="32">
        <v>1</v>
      </c>
      <c r="K7" s="32" t="s">
        <v>278</v>
      </c>
      <c r="L7" s="32"/>
      <c r="M7" s="32">
        <v>1</v>
      </c>
      <c r="N7" s="31" t="s">
        <v>22</v>
      </c>
      <c r="O7" s="31" t="s">
        <v>22</v>
      </c>
      <c r="P7" s="53" t="s">
        <v>39</v>
      </c>
      <c r="Q7" s="21" t="str">
        <f>IFERROR(VLOOKUP(February[[#This Row],[Drug Name]],'Data Options'!$R$1:$S$100,2,FALSE), " ")</f>
        <v>Tetracyclines</v>
      </c>
      <c r="R7" s="32" t="s">
        <v>92</v>
      </c>
      <c r="S7" s="32" t="s">
        <v>89</v>
      </c>
      <c r="T7" s="53"/>
      <c r="U7" s="21" t="str">
        <f>IFERROR(VLOOKUP(February[[#This Row],[Drug Name2]],'Data Options'!$R$1:$S$100,2,FALSE), " ")</f>
        <v xml:space="preserve"> </v>
      </c>
      <c r="V7" s="32"/>
      <c r="W7" s="32"/>
      <c r="X7" s="53"/>
      <c r="Y7" s="21" t="str">
        <f>IFERROR(VLOOKUP(February[[#This Row],[Drug Name3]],'Data Options'!$R$1:$S$100,2,FALSE), " ")</f>
        <v xml:space="preserve"> </v>
      </c>
      <c r="Z7" s="32"/>
      <c r="AA7" s="32"/>
      <c r="AB7" s="32"/>
      <c r="AC7" s="32"/>
      <c r="AD7" s="32"/>
      <c r="AE7" s="31"/>
      <c r="AF7" s="31"/>
      <c r="AG7" s="53"/>
      <c r="AH7" s="21" t="str">
        <f>IFERROR(VLOOKUP(February[[#This Row],[Drug Name4]],'Data Options'!$R$1:$S$100,2,FALSE), " ")</f>
        <v xml:space="preserve"> </v>
      </c>
      <c r="AI7" s="32"/>
      <c r="AJ7" s="32"/>
      <c r="AK7" s="53"/>
      <c r="AL7" s="21" t="str">
        <f>IFERROR(VLOOKUP(February[[#This Row],[Drug Name5]],'Data Options'!$R$1:$S$100,2,FALSE), " ")</f>
        <v xml:space="preserve"> </v>
      </c>
      <c r="AM7" s="32"/>
      <c r="AN7" s="32"/>
      <c r="AO7" s="53"/>
      <c r="AP7" s="21" t="str">
        <f>IFERROR(VLOOKUP(February[[#This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21" t="str">
        <f>IFERROR(VLOOKUP(February[[#This Row],[Drug Name7]],'Data Options'!$R$1:$S$100,2,FALSE), " ")</f>
        <v xml:space="preserve"> </v>
      </c>
      <c r="AZ7" s="32"/>
      <c r="BA7" s="32"/>
      <c r="BB7" s="53"/>
      <c r="BC7" s="21" t="str">
        <f>IFERROR(VLOOKUP(February[[#This Row],[Drug Name8]],'Data Options'!$R$1:$S$100,2,FALSE), " ")</f>
        <v xml:space="preserve"> </v>
      </c>
      <c r="BD7" s="32"/>
      <c r="BE7" s="32"/>
      <c r="BF7" s="53"/>
      <c r="BG7" s="21" t="str">
        <f>IFERROR(VLOOKUP(February[[#This Row],[Drug Name9]],'Data Options'!$R$1:$S$100,2,FALSE), " ")</f>
        <v xml:space="preserve"> </v>
      </c>
      <c r="BH7" s="32"/>
      <c r="BI7" s="32"/>
    </row>
    <row r="8" spans="1:61" ht="31">
      <c r="A8" s="51">
        <v>43864</v>
      </c>
      <c r="B8" s="52" t="s">
        <v>314</v>
      </c>
      <c r="C8" s="32">
        <v>20015</v>
      </c>
      <c r="D8" s="32" t="s">
        <v>12</v>
      </c>
      <c r="E8" s="32" t="s">
        <v>15</v>
      </c>
      <c r="F8" s="32" t="s">
        <v>221</v>
      </c>
      <c r="G8" s="32" t="s">
        <v>18</v>
      </c>
      <c r="H8" s="32"/>
      <c r="I8" s="32" t="s">
        <v>22</v>
      </c>
      <c r="J8" s="32">
        <v>1</v>
      </c>
      <c r="K8" s="32" t="s">
        <v>90</v>
      </c>
      <c r="L8" s="32"/>
      <c r="M8" s="32">
        <v>1</v>
      </c>
      <c r="N8" s="31" t="s">
        <v>23</v>
      </c>
      <c r="O8" s="31" t="s">
        <v>23</v>
      </c>
      <c r="P8" s="53" t="s">
        <v>38</v>
      </c>
      <c r="Q8" s="21" t="str">
        <f>IFERROR(VLOOKUP(February[[#This Row],[Drug Name]],'Data Options'!$R$1:$S$100,2,FALSE), " ")</f>
        <v>Lincosamides</v>
      </c>
      <c r="R8" s="32" t="s">
        <v>92</v>
      </c>
      <c r="S8" s="32" t="s">
        <v>89</v>
      </c>
      <c r="T8" s="53"/>
      <c r="U8" s="21" t="str">
        <f>IFERROR(VLOOKUP(February[[#This Row],[Drug Name2]],'Data Options'!$R$1:$S$100,2,FALSE), " ")</f>
        <v xml:space="preserve"> </v>
      </c>
      <c r="V8" s="32"/>
      <c r="W8" s="32"/>
      <c r="X8" s="53"/>
      <c r="Y8" s="21" t="str">
        <f>IFERROR(VLOOKUP(February[[#This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21" t="str">
        <f>IFERROR(VLOOKUP(February[[#This Row],[Drug Name4]],'Data Options'!$R$1:$S$100,2,FALSE), " ")</f>
        <v xml:space="preserve"> </v>
      </c>
      <c r="AI8" s="32"/>
      <c r="AJ8" s="32"/>
      <c r="AK8" s="53"/>
      <c r="AL8" s="21" t="str">
        <f>IFERROR(VLOOKUP(February[[#This Row],[Drug Name5]],'Data Options'!$R$1:$S$100,2,FALSE), " ")</f>
        <v xml:space="preserve"> </v>
      </c>
      <c r="AM8" s="32"/>
      <c r="AN8" s="32"/>
      <c r="AO8" s="53"/>
      <c r="AP8" s="21" t="str">
        <f>IFERROR(VLOOKUP(February[[#This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21" t="str">
        <f>IFERROR(VLOOKUP(February[[#This Row],[Drug Name7]],'Data Options'!$R$1:$S$100,2,FALSE), " ")</f>
        <v xml:space="preserve"> </v>
      </c>
      <c r="AZ8" s="32"/>
      <c r="BA8" s="32"/>
      <c r="BB8" s="53"/>
      <c r="BC8" s="21" t="str">
        <f>IFERROR(VLOOKUP(February[[#This Row],[Drug Name8]],'Data Options'!$R$1:$S$100,2,FALSE), " ")</f>
        <v xml:space="preserve"> </v>
      </c>
      <c r="BD8" s="32"/>
      <c r="BE8" s="32"/>
      <c r="BF8" s="53"/>
      <c r="BG8" s="21" t="str">
        <f>IFERROR(VLOOKUP(February[[#This Row],[Drug Name9]],'Data Options'!$R$1:$S$100,2,FALSE), " ")</f>
        <v xml:space="preserve"> </v>
      </c>
      <c r="BH8" s="32"/>
      <c r="BI8" s="32"/>
    </row>
    <row r="9" spans="1:61">
      <c r="A9" s="51">
        <v>43864</v>
      </c>
      <c r="B9" s="52" t="s">
        <v>314</v>
      </c>
      <c r="C9" s="32">
        <v>20016</v>
      </c>
      <c r="D9" s="32" t="s">
        <v>13</v>
      </c>
      <c r="E9" s="32" t="s">
        <v>17</v>
      </c>
      <c r="F9" s="32" t="s">
        <v>123</v>
      </c>
      <c r="G9" s="32" t="s">
        <v>292</v>
      </c>
      <c r="H9" s="32"/>
      <c r="I9" s="32" t="s">
        <v>23</v>
      </c>
      <c r="J9" s="32">
        <v>0</v>
      </c>
      <c r="K9" s="32"/>
      <c r="L9" s="32"/>
      <c r="M9" s="32"/>
      <c r="N9" s="31"/>
      <c r="O9" s="31"/>
      <c r="P9" s="53"/>
      <c r="Q9" s="21" t="str">
        <f>IFERROR(VLOOKUP(February[[#This Row],[Drug Name]],'Data Options'!$R$1:$S$100,2,FALSE), " ")</f>
        <v xml:space="preserve"> </v>
      </c>
      <c r="R9" s="32"/>
      <c r="S9" s="32"/>
      <c r="T9" s="53"/>
      <c r="U9" s="21" t="str">
        <f>IFERROR(VLOOKUP(February[[#This Row],[Drug Name2]],'Data Options'!$R$1:$S$100,2,FALSE), " ")</f>
        <v xml:space="preserve"> </v>
      </c>
      <c r="V9" s="32"/>
      <c r="W9" s="32"/>
      <c r="X9" s="53"/>
      <c r="Y9" s="21" t="str">
        <f>IFERROR(VLOOKUP(February[[#This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21" t="str">
        <f>IFERROR(VLOOKUP(February[[#This Row],[Drug Name4]],'Data Options'!$R$1:$S$100,2,FALSE), " ")</f>
        <v xml:space="preserve"> </v>
      </c>
      <c r="AI9" s="32"/>
      <c r="AJ9" s="32"/>
      <c r="AK9" s="53"/>
      <c r="AL9" s="21" t="str">
        <f>IFERROR(VLOOKUP(February[[#This Row],[Drug Name5]],'Data Options'!$R$1:$S$100,2,FALSE), " ")</f>
        <v xml:space="preserve"> </v>
      </c>
      <c r="AM9" s="32"/>
      <c r="AN9" s="32"/>
      <c r="AO9" s="53"/>
      <c r="AP9" s="21" t="str">
        <f>IFERROR(VLOOKUP(February[[#This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21" t="str">
        <f>IFERROR(VLOOKUP(February[[#This Row],[Drug Name7]],'Data Options'!$R$1:$S$100,2,FALSE), " ")</f>
        <v xml:space="preserve"> </v>
      </c>
      <c r="AZ9" s="32"/>
      <c r="BA9" s="32"/>
      <c r="BB9" s="53"/>
      <c r="BC9" s="21" t="str">
        <f>IFERROR(VLOOKUP(February[[#This Row],[Drug Name8]],'Data Options'!$R$1:$S$100,2,FALSE), " ")</f>
        <v xml:space="preserve"> </v>
      </c>
      <c r="BD9" s="32"/>
      <c r="BE9" s="32"/>
      <c r="BF9" s="53"/>
      <c r="BG9" s="21" t="str">
        <f>IFERROR(VLOOKUP(February[[#This Row],[Drug Name9]],'Data Options'!$R$1:$S$100,2,FALSE), " ")</f>
        <v xml:space="preserve"> </v>
      </c>
      <c r="BH9" s="32"/>
      <c r="BI9" s="32"/>
    </row>
    <row r="10" spans="1:61">
      <c r="A10" s="51">
        <v>43865</v>
      </c>
      <c r="B10" s="52" t="s">
        <v>314</v>
      </c>
      <c r="C10" s="32">
        <v>20017</v>
      </c>
      <c r="D10" s="32" t="s">
        <v>12</v>
      </c>
      <c r="E10" s="32" t="s">
        <v>17</v>
      </c>
      <c r="F10" s="32" t="s">
        <v>219</v>
      </c>
      <c r="G10" s="32" t="s">
        <v>18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1"/>
      <c r="O10" s="31"/>
      <c r="P10" s="53"/>
      <c r="Q10" s="21" t="str">
        <f>IFERROR(VLOOKUP(February[[#This Row],[Drug Name]],'Data Options'!$R$1:$S$100,2,FALSE), " ")</f>
        <v xml:space="preserve"> </v>
      </c>
      <c r="R10" s="32"/>
      <c r="S10" s="32"/>
      <c r="T10" s="53"/>
      <c r="U10" s="21" t="str">
        <f>IFERROR(VLOOKUP(February[[#This Row],[Drug Name2]],'Data Options'!$R$1:$S$100,2,FALSE), " ")</f>
        <v xml:space="preserve"> </v>
      </c>
      <c r="V10" s="32"/>
      <c r="W10" s="32"/>
      <c r="X10" s="53"/>
      <c r="Y10" s="21" t="str">
        <f>IFERROR(VLOOKUP(February[[#This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21" t="str">
        <f>IFERROR(VLOOKUP(February[[#This Row],[Drug Name4]],'Data Options'!$R$1:$S$100,2,FALSE), " ")</f>
        <v xml:space="preserve"> </v>
      </c>
      <c r="AI10" s="32"/>
      <c r="AJ10" s="32"/>
      <c r="AK10" s="53"/>
      <c r="AL10" s="21" t="str">
        <f>IFERROR(VLOOKUP(February[[#This Row],[Drug Name5]],'Data Options'!$R$1:$S$100,2,FALSE), " ")</f>
        <v xml:space="preserve"> </v>
      </c>
      <c r="AM10" s="32"/>
      <c r="AN10" s="32"/>
      <c r="AO10" s="53"/>
      <c r="AP10" s="21" t="str">
        <f>IFERROR(VLOOKUP(February[[#This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21" t="str">
        <f>IFERROR(VLOOKUP(February[[#This Row],[Drug Name7]],'Data Options'!$R$1:$S$100,2,FALSE), " ")</f>
        <v xml:space="preserve"> </v>
      </c>
      <c r="AZ10" s="32"/>
      <c r="BA10" s="32"/>
      <c r="BB10" s="53"/>
      <c r="BC10" s="21" t="str">
        <f>IFERROR(VLOOKUP(February[[#This Row],[Drug Name8]],'Data Options'!$R$1:$S$100,2,FALSE), " ")</f>
        <v xml:space="preserve"> </v>
      </c>
      <c r="BD10" s="32"/>
      <c r="BE10" s="32"/>
      <c r="BF10" s="53"/>
      <c r="BG10" s="21" t="str">
        <f>IFERROR(VLOOKUP(February[[#This Row],[Drug Name9]],'Data Options'!$R$1:$S$100,2,FALSE), " ")</f>
        <v xml:space="preserve"> </v>
      </c>
      <c r="BH10" s="32"/>
      <c r="BI10" s="32"/>
    </row>
    <row r="11" spans="1:61" ht="31">
      <c r="A11" s="51">
        <v>43865</v>
      </c>
      <c r="B11" s="52" t="s">
        <v>314</v>
      </c>
      <c r="C11" s="32">
        <v>20018</v>
      </c>
      <c r="D11" s="32" t="s">
        <v>12</v>
      </c>
      <c r="E11" s="32" t="s">
        <v>16</v>
      </c>
      <c r="F11" s="32" t="s">
        <v>219</v>
      </c>
      <c r="G11" s="32" t="s">
        <v>20</v>
      </c>
      <c r="H11" s="32"/>
      <c r="I11" s="32" t="s">
        <v>22</v>
      </c>
      <c r="J11" s="32">
        <v>2</v>
      </c>
      <c r="K11" s="32" t="s">
        <v>275</v>
      </c>
      <c r="L11" s="32"/>
      <c r="M11" s="32">
        <v>2</v>
      </c>
      <c r="N11" s="31" t="s">
        <v>22</v>
      </c>
      <c r="O11" s="31" t="s">
        <v>22</v>
      </c>
      <c r="P11" s="53" t="s">
        <v>130</v>
      </c>
      <c r="Q11" s="21" t="str">
        <f>IFERROR(VLOOKUP(February[[#This Row],[Drug Name]],'Data Options'!$R$1:$S$100,2,FALSE), " ")</f>
        <v>Fluoroquinolones</v>
      </c>
      <c r="R11" s="32" t="s">
        <v>88</v>
      </c>
      <c r="S11" s="32" t="s">
        <v>89</v>
      </c>
      <c r="T11" s="53" t="s">
        <v>242</v>
      </c>
      <c r="U11" s="21" t="str">
        <f>IFERROR(VLOOKUP(February[[#This Row],[Drug Name2]],'Data Options'!$R$1:$S$100,2,FALSE), " ")</f>
        <v>Cephalosporins</v>
      </c>
      <c r="V11" s="32" t="s">
        <v>88</v>
      </c>
      <c r="W11" s="32" t="s">
        <v>89</v>
      </c>
      <c r="X11" s="53"/>
      <c r="Y11" s="21" t="str">
        <f>IFERROR(VLOOKUP(February[[#This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21" t="str">
        <f>IFERROR(VLOOKUP(February[[#This Row],[Drug Name4]],'Data Options'!$R$1:$S$100,2,FALSE), " ")</f>
        <v xml:space="preserve"> </v>
      </c>
      <c r="AI11" s="32"/>
      <c r="AJ11" s="32"/>
      <c r="AK11" s="53"/>
      <c r="AL11" s="21" t="str">
        <f>IFERROR(VLOOKUP(February[[#This Row],[Drug Name5]],'Data Options'!$R$1:$S$100,2,FALSE), " ")</f>
        <v xml:space="preserve"> </v>
      </c>
      <c r="AM11" s="32"/>
      <c r="AN11" s="32"/>
      <c r="AO11" s="53"/>
      <c r="AP11" s="21" t="str">
        <f>IFERROR(VLOOKUP(February[[#This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21" t="str">
        <f>IFERROR(VLOOKUP(February[[#This Row],[Drug Name7]],'Data Options'!$R$1:$S$100,2,FALSE), " ")</f>
        <v xml:space="preserve"> </v>
      </c>
      <c r="AZ11" s="32"/>
      <c r="BA11" s="32"/>
      <c r="BB11" s="53"/>
      <c r="BC11" s="21" t="str">
        <f>IFERROR(VLOOKUP(February[[#This Row],[Drug Name8]],'Data Options'!$R$1:$S$100,2,FALSE), " ")</f>
        <v xml:space="preserve"> </v>
      </c>
      <c r="BD11" s="32"/>
      <c r="BE11" s="32"/>
      <c r="BF11" s="53"/>
      <c r="BG11" s="21" t="str">
        <f>IFERROR(VLOOKUP(February[[#This Row],[Drug Name9]],'Data Options'!$R$1:$S$100,2,FALSE), " ")</f>
        <v xml:space="preserve"> </v>
      </c>
      <c r="BH11" s="32"/>
      <c r="BI11" s="32"/>
    </row>
    <row r="12" spans="1:61" ht="31">
      <c r="A12" s="51">
        <v>43866</v>
      </c>
      <c r="B12" s="52" t="s">
        <v>314</v>
      </c>
      <c r="C12" s="32">
        <v>20019</v>
      </c>
      <c r="D12" s="32" t="s">
        <v>12</v>
      </c>
      <c r="E12" s="32" t="s">
        <v>15</v>
      </c>
      <c r="F12" s="32" t="s">
        <v>219</v>
      </c>
      <c r="G12" s="32" t="s">
        <v>20</v>
      </c>
      <c r="H12" s="32"/>
      <c r="I12" s="32" t="s">
        <v>22</v>
      </c>
      <c r="J12" s="32">
        <v>1</v>
      </c>
      <c r="K12" s="32" t="s">
        <v>102</v>
      </c>
      <c r="L12" s="32"/>
      <c r="M12" s="32">
        <v>1</v>
      </c>
      <c r="N12" s="31" t="s">
        <v>22</v>
      </c>
      <c r="O12" s="31" t="s">
        <v>23</v>
      </c>
      <c r="P12" s="53" t="s">
        <v>43</v>
      </c>
      <c r="Q12" s="21" t="str">
        <f>IFERROR(VLOOKUP(February[[#This Row],[Drug Name]],'Data Options'!$R$1:$S$100,2,FALSE), " ")</f>
        <v>Nitroimidazoles</v>
      </c>
      <c r="R12" s="32" t="s">
        <v>92</v>
      </c>
      <c r="S12" s="32" t="s">
        <v>89</v>
      </c>
      <c r="T12" s="53"/>
      <c r="U12" s="21" t="str">
        <f>IFERROR(VLOOKUP(February[[#This Row],[Drug Name2]],'Data Options'!$R$1:$S$100,2,FALSE), " ")</f>
        <v xml:space="preserve"> </v>
      </c>
      <c r="V12" s="32"/>
      <c r="W12" s="32"/>
      <c r="X12" s="53"/>
      <c r="Y12" s="21" t="str">
        <f>IFERROR(VLOOKUP(February[[#This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21" t="str">
        <f>IFERROR(VLOOKUP(February[[#This Row],[Drug Name4]],'Data Options'!$R$1:$S$100,2,FALSE), " ")</f>
        <v xml:space="preserve"> </v>
      </c>
      <c r="AI12" s="32"/>
      <c r="AJ12" s="32"/>
      <c r="AK12" s="53"/>
      <c r="AL12" s="21" t="str">
        <f>IFERROR(VLOOKUP(February[[#This Row],[Drug Name5]],'Data Options'!$R$1:$S$100,2,FALSE), " ")</f>
        <v xml:space="preserve"> </v>
      </c>
      <c r="AM12" s="32"/>
      <c r="AN12" s="32"/>
      <c r="AO12" s="53"/>
      <c r="AP12" s="21" t="str">
        <f>IFERROR(VLOOKUP(February[[#This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21" t="str">
        <f>IFERROR(VLOOKUP(February[[#This Row],[Drug Name7]],'Data Options'!$R$1:$S$100,2,FALSE), " ")</f>
        <v xml:space="preserve"> </v>
      </c>
      <c r="AZ12" s="32"/>
      <c r="BA12" s="32"/>
      <c r="BB12" s="53"/>
      <c r="BC12" s="21" t="str">
        <f>IFERROR(VLOOKUP(February[[#This Row],[Drug Name8]],'Data Options'!$R$1:$S$100,2,FALSE), " ")</f>
        <v xml:space="preserve"> </v>
      </c>
      <c r="BD12" s="32"/>
      <c r="BE12" s="32"/>
      <c r="BF12" s="53"/>
      <c r="BG12" s="21" t="str">
        <f>IFERROR(VLOOKUP(February[[#This Row],[Drug Name9]],'Data Options'!$R$1:$S$100,2,FALSE), " ")</f>
        <v xml:space="preserve"> </v>
      </c>
      <c r="BH12" s="32"/>
      <c r="BI12" s="32"/>
    </row>
    <row r="13" spans="1:61">
      <c r="A13" s="51">
        <v>43866</v>
      </c>
      <c r="B13" s="52" t="s">
        <v>314</v>
      </c>
      <c r="C13" s="32">
        <v>20020</v>
      </c>
      <c r="D13" s="32" t="s">
        <v>13</v>
      </c>
      <c r="E13" s="32" t="s">
        <v>16</v>
      </c>
      <c r="F13" s="32" t="s">
        <v>117</v>
      </c>
      <c r="G13" s="32" t="s">
        <v>18</v>
      </c>
      <c r="H13" s="32"/>
      <c r="I13" s="32" t="s">
        <v>247</v>
      </c>
      <c r="J13" s="32">
        <v>0</v>
      </c>
      <c r="K13" s="32" t="s">
        <v>277</v>
      </c>
      <c r="L13" s="32"/>
      <c r="M13" s="32"/>
      <c r="N13" s="31" t="s">
        <v>22</v>
      </c>
      <c r="O13" s="31" t="s">
        <v>23</v>
      </c>
      <c r="P13" s="53"/>
      <c r="Q13" s="21" t="str">
        <f>IFERROR(VLOOKUP(February[[#This Row],[Drug Name]],'Data Options'!$R$1:$S$100,2,FALSE), " ")</f>
        <v xml:space="preserve"> </v>
      </c>
      <c r="R13" s="32"/>
      <c r="S13" s="32"/>
      <c r="T13" s="53"/>
      <c r="U13" s="21" t="str">
        <f>IFERROR(VLOOKUP(February[[#This Row],[Drug Name2]],'Data Options'!$R$1:$S$100,2,FALSE), " ")</f>
        <v xml:space="preserve"> </v>
      </c>
      <c r="V13" s="32"/>
      <c r="W13" s="32"/>
      <c r="X13" s="53"/>
      <c r="Y13" s="21" t="str">
        <f>IFERROR(VLOOKUP(February[[#This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21" t="str">
        <f>IFERROR(VLOOKUP(February[[#This Row],[Drug Name4]],'Data Options'!$R$1:$S$100,2,FALSE), " ")</f>
        <v xml:space="preserve"> </v>
      </c>
      <c r="AI13" s="32"/>
      <c r="AJ13" s="32"/>
      <c r="AK13" s="53"/>
      <c r="AL13" s="21" t="str">
        <f>IFERROR(VLOOKUP(February[[#This Row],[Drug Name5]],'Data Options'!$R$1:$S$100,2,FALSE), " ")</f>
        <v xml:space="preserve"> </v>
      </c>
      <c r="AM13" s="32"/>
      <c r="AN13" s="32"/>
      <c r="AO13" s="53"/>
      <c r="AP13" s="21" t="str">
        <f>IFERROR(VLOOKUP(February[[#This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21" t="str">
        <f>IFERROR(VLOOKUP(February[[#This Row],[Drug Name7]],'Data Options'!$R$1:$S$100,2,FALSE), " ")</f>
        <v xml:space="preserve"> </v>
      </c>
      <c r="AZ13" s="32"/>
      <c r="BA13" s="32"/>
      <c r="BB13" s="53"/>
      <c r="BC13" s="21" t="str">
        <f>IFERROR(VLOOKUP(February[[#This Row],[Drug Name8]],'Data Options'!$R$1:$S$100,2,FALSE), " ")</f>
        <v xml:space="preserve"> </v>
      </c>
      <c r="BD13" s="32"/>
      <c r="BE13" s="32"/>
      <c r="BF13" s="53"/>
      <c r="BG13" s="21" t="str">
        <f>IFERROR(VLOOKUP(February[[#This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21" t="str">
        <f>IFERROR(VLOOKUP(February[[#This Row],[Drug Name]],'Data Options'!$R$1:$S$100,2,FALSE), " ")</f>
        <v xml:space="preserve"> </v>
      </c>
      <c r="R14" s="32"/>
      <c r="S14" s="32"/>
      <c r="T14" s="53"/>
      <c r="U14" s="21" t="str">
        <f>IFERROR(VLOOKUP(February[[#This Row],[Drug Name2]],'Data Options'!$R$1:$S$100,2,FALSE), " ")</f>
        <v xml:space="preserve"> </v>
      </c>
      <c r="V14" s="32"/>
      <c r="W14" s="32"/>
      <c r="X14" s="53"/>
      <c r="Y14" s="21" t="str">
        <f>IFERROR(VLOOKUP(February[[#This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21" t="str">
        <f>IFERROR(VLOOKUP(February[[#This Row],[Drug Name4]],'Data Options'!$R$1:$S$100,2,FALSE), " ")</f>
        <v xml:space="preserve"> </v>
      </c>
      <c r="AI14" s="32"/>
      <c r="AJ14" s="32"/>
      <c r="AK14" s="53"/>
      <c r="AL14" s="21" t="str">
        <f>IFERROR(VLOOKUP(February[[#This Row],[Drug Name5]],'Data Options'!$R$1:$S$100,2,FALSE), " ")</f>
        <v xml:space="preserve"> </v>
      </c>
      <c r="AM14" s="32"/>
      <c r="AN14" s="32"/>
      <c r="AO14" s="53"/>
      <c r="AP14" s="21" t="str">
        <f>IFERROR(VLOOKUP(February[[#This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21" t="str">
        <f>IFERROR(VLOOKUP(February[[#This Row],[Drug Name7]],'Data Options'!$R$1:$S$100,2,FALSE), " ")</f>
        <v xml:space="preserve"> </v>
      </c>
      <c r="AZ14" s="32"/>
      <c r="BA14" s="32"/>
      <c r="BB14" s="53"/>
      <c r="BC14" s="21" t="str">
        <f>IFERROR(VLOOKUP(February[[#This Row],[Drug Name8]],'Data Options'!$R$1:$S$100,2,FALSE), " ")</f>
        <v xml:space="preserve"> </v>
      </c>
      <c r="BD14" s="32"/>
      <c r="BE14" s="32"/>
      <c r="BF14" s="53"/>
      <c r="BG14" s="21" t="str">
        <f>IFERROR(VLOOKUP(February[[#This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21" t="str">
        <f>IFERROR(VLOOKUP(February[[#This Row],[Drug Name]],'Data Options'!$R$1:$S$100,2,FALSE), " ")</f>
        <v xml:space="preserve"> </v>
      </c>
      <c r="R15" s="32"/>
      <c r="S15" s="32"/>
      <c r="T15" s="53"/>
      <c r="U15" s="21" t="str">
        <f>IFERROR(VLOOKUP(February[[#This Row],[Drug Name2]],'Data Options'!$R$1:$S$100,2,FALSE), " ")</f>
        <v xml:space="preserve"> </v>
      </c>
      <c r="V15" s="32"/>
      <c r="W15" s="32"/>
      <c r="X15" s="53"/>
      <c r="Y15" s="21" t="str">
        <f>IFERROR(VLOOKUP(February[[#This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21" t="str">
        <f>IFERROR(VLOOKUP(February[[#This Row],[Drug Name4]],'Data Options'!$R$1:$S$100,2,FALSE), " ")</f>
        <v xml:space="preserve"> </v>
      </c>
      <c r="AI15" s="32"/>
      <c r="AJ15" s="32"/>
      <c r="AK15" s="53"/>
      <c r="AL15" s="21" t="str">
        <f>IFERROR(VLOOKUP(February[[#This Row],[Drug Name5]],'Data Options'!$R$1:$S$100,2,FALSE), " ")</f>
        <v xml:space="preserve"> </v>
      </c>
      <c r="AM15" s="32"/>
      <c r="AN15" s="32"/>
      <c r="AO15" s="53"/>
      <c r="AP15" s="21" t="str">
        <f>IFERROR(VLOOKUP(February[[#This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21" t="str">
        <f>IFERROR(VLOOKUP(February[[#This Row],[Drug Name7]],'Data Options'!$R$1:$S$100,2,FALSE), " ")</f>
        <v xml:space="preserve"> </v>
      </c>
      <c r="AZ15" s="32"/>
      <c r="BA15" s="32"/>
      <c r="BB15" s="53"/>
      <c r="BC15" s="21" t="str">
        <f>IFERROR(VLOOKUP(February[[#This Row],[Drug Name8]],'Data Options'!$R$1:$S$100,2,FALSE), " ")</f>
        <v xml:space="preserve"> </v>
      </c>
      <c r="BD15" s="32"/>
      <c r="BE15" s="32"/>
      <c r="BF15" s="53"/>
      <c r="BG15" s="21" t="str">
        <f>IFERROR(VLOOKUP(February[[#This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21" t="str">
        <f>IFERROR(VLOOKUP(February[[#This Row],[Drug Name]],'Data Options'!$R$1:$S$100,2,FALSE), " ")</f>
        <v xml:space="preserve"> </v>
      </c>
      <c r="R16" s="32"/>
      <c r="S16" s="32"/>
      <c r="T16" s="53"/>
      <c r="U16" s="21" t="str">
        <f>IFERROR(VLOOKUP(February[[#This Row],[Drug Name2]],'Data Options'!$R$1:$S$100,2,FALSE), " ")</f>
        <v xml:space="preserve"> </v>
      </c>
      <c r="V16" s="32"/>
      <c r="W16" s="32"/>
      <c r="X16" s="53"/>
      <c r="Y16" s="21" t="str">
        <f>IFERROR(VLOOKUP(February[[#This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21" t="str">
        <f>IFERROR(VLOOKUP(February[[#This Row],[Drug Name4]],'Data Options'!$R$1:$S$100,2,FALSE), " ")</f>
        <v xml:space="preserve"> </v>
      </c>
      <c r="AI16" s="32"/>
      <c r="AJ16" s="32"/>
      <c r="AK16" s="53"/>
      <c r="AL16" s="21" t="str">
        <f>IFERROR(VLOOKUP(February[[#This Row],[Drug Name5]],'Data Options'!$R$1:$S$100,2,FALSE), " ")</f>
        <v xml:space="preserve"> </v>
      </c>
      <c r="AM16" s="32"/>
      <c r="AN16" s="32"/>
      <c r="AO16" s="53"/>
      <c r="AP16" s="21" t="str">
        <f>IFERROR(VLOOKUP(February[[#This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21" t="str">
        <f>IFERROR(VLOOKUP(February[[#This Row],[Drug Name7]],'Data Options'!$R$1:$S$100,2,FALSE), " ")</f>
        <v xml:space="preserve"> </v>
      </c>
      <c r="AZ16" s="32"/>
      <c r="BA16" s="32"/>
      <c r="BB16" s="53"/>
      <c r="BC16" s="21" t="str">
        <f>IFERROR(VLOOKUP(February[[#This Row],[Drug Name8]],'Data Options'!$R$1:$S$100,2,FALSE), " ")</f>
        <v xml:space="preserve"> </v>
      </c>
      <c r="BD16" s="32"/>
      <c r="BE16" s="32"/>
      <c r="BF16" s="53"/>
      <c r="BG16" s="21" t="str">
        <f>IFERROR(VLOOKUP(February[[#This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21" t="str">
        <f>IFERROR(VLOOKUP(February[[#This Row],[Drug Name]],'Data Options'!$R$1:$S$100,2,FALSE), " ")</f>
        <v xml:space="preserve"> </v>
      </c>
      <c r="R17" s="32"/>
      <c r="S17" s="32"/>
      <c r="T17" s="53"/>
      <c r="U17" s="21" t="str">
        <f>IFERROR(VLOOKUP(February[[#This Row],[Drug Name2]],'Data Options'!$R$1:$S$100,2,FALSE), " ")</f>
        <v xml:space="preserve"> </v>
      </c>
      <c r="V17" s="32"/>
      <c r="W17" s="32"/>
      <c r="X17" s="53"/>
      <c r="Y17" s="21" t="str">
        <f>IFERROR(VLOOKUP(February[[#This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21" t="str">
        <f>IFERROR(VLOOKUP(February[[#This Row],[Drug Name4]],'Data Options'!$R$1:$S$100,2,FALSE), " ")</f>
        <v xml:space="preserve"> </v>
      </c>
      <c r="AI17" s="32"/>
      <c r="AJ17" s="32"/>
      <c r="AK17" s="53"/>
      <c r="AL17" s="21" t="str">
        <f>IFERROR(VLOOKUP(February[[#This Row],[Drug Name5]],'Data Options'!$R$1:$S$100,2,FALSE), " ")</f>
        <v xml:space="preserve"> </v>
      </c>
      <c r="AM17" s="32"/>
      <c r="AN17" s="32"/>
      <c r="AO17" s="53"/>
      <c r="AP17" s="21" t="str">
        <f>IFERROR(VLOOKUP(February[[#This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21" t="str">
        <f>IFERROR(VLOOKUP(February[[#This Row],[Drug Name7]],'Data Options'!$R$1:$S$100,2,FALSE), " ")</f>
        <v xml:space="preserve"> </v>
      </c>
      <c r="AZ17" s="32"/>
      <c r="BA17" s="32"/>
      <c r="BB17" s="53"/>
      <c r="BC17" s="21" t="str">
        <f>IFERROR(VLOOKUP(February[[#This Row],[Drug Name8]],'Data Options'!$R$1:$S$100,2,FALSE), " ")</f>
        <v xml:space="preserve"> </v>
      </c>
      <c r="BD17" s="32"/>
      <c r="BE17" s="32"/>
      <c r="BF17" s="53"/>
      <c r="BG17" s="21" t="str">
        <f>IFERROR(VLOOKUP(February[[#This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21" t="str">
        <f>IFERROR(VLOOKUP(February[[#This Row],[Drug Name]],'Data Options'!$R$1:$S$100,2,FALSE), " ")</f>
        <v xml:space="preserve"> </v>
      </c>
      <c r="R18" s="32"/>
      <c r="S18" s="32"/>
      <c r="T18" s="53"/>
      <c r="U18" s="21" t="str">
        <f>IFERROR(VLOOKUP(February[[#This Row],[Drug Name2]],'Data Options'!$R$1:$S$100,2,FALSE), " ")</f>
        <v xml:space="preserve"> </v>
      </c>
      <c r="V18" s="32"/>
      <c r="W18" s="32"/>
      <c r="X18" s="53"/>
      <c r="Y18" s="21" t="str">
        <f>IFERROR(VLOOKUP(February[[#This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21" t="str">
        <f>IFERROR(VLOOKUP(February[[#This Row],[Drug Name4]],'Data Options'!$R$1:$S$100,2,FALSE), " ")</f>
        <v xml:space="preserve"> </v>
      </c>
      <c r="AI18" s="32"/>
      <c r="AJ18" s="32"/>
      <c r="AK18" s="53"/>
      <c r="AL18" s="21" t="str">
        <f>IFERROR(VLOOKUP(February[[#This Row],[Drug Name5]],'Data Options'!$R$1:$S$100,2,FALSE), " ")</f>
        <v xml:space="preserve"> </v>
      </c>
      <c r="AM18" s="32"/>
      <c r="AN18" s="32"/>
      <c r="AO18" s="53"/>
      <c r="AP18" s="21" t="str">
        <f>IFERROR(VLOOKUP(February[[#This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21" t="str">
        <f>IFERROR(VLOOKUP(February[[#This Row],[Drug Name7]],'Data Options'!$R$1:$S$100,2,FALSE), " ")</f>
        <v xml:space="preserve"> </v>
      </c>
      <c r="AZ18" s="32"/>
      <c r="BA18" s="32"/>
      <c r="BB18" s="53"/>
      <c r="BC18" s="21" t="str">
        <f>IFERROR(VLOOKUP(February[[#This Row],[Drug Name8]],'Data Options'!$R$1:$S$100,2,FALSE), " ")</f>
        <v xml:space="preserve"> </v>
      </c>
      <c r="BD18" s="32"/>
      <c r="BE18" s="32"/>
      <c r="BF18" s="53"/>
      <c r="BG18" s="21" t="str">
        <f>IFERROR(VLOOKUP(February[[#This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21" t="str">
        <f>IFERROR(VLOOKUP(February[[#This Row],[Drug Name]],'Data Options'!$R$1:$S$100,2,FALSE), " ")</f>
        <v xml:space="preserve"> </v>
      </c>
      <c r="R19" s="32"/>
      <c r="S19" s="32"/>
      <c r="T19" s="53"/>
      <c r="U19" s="21" t="str">
        <f>IFERROR(VLOOKUP(February[[#This Row],[Drug Name2]],'Data Options'!$R$1:$S$100,2,FALSE), " ")</f>
        <v xml:space="preserve"> </v>
      </c>
      <c r="V19" s="32"/>
      <c r="W19" s="32"/>
      <c r="X19" s="53"/>
      <c r="Y19" s="21" t="str">
        <f>IFERROR(VLOOKUP(February[[#This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21" t="str">
        <f>IFERROR(VLOOKUP(February[[#This Row],[Drug Name4]],'Data Options'!$R$1:$S$100,2,FALSE), " ")</f>
        <v xml:space="preserve"> </v>
      </c>
      <c r="AI19" s="32"/>
      <c r="AJ19" s="32"/>
      <c r="AK19" s="53"/>
      <c r="AL19" s="21" t="str">
        <f>IFERROR(VLOOKUP(February[[#This Row],[Drug Name5]],'Data Options'!$R$1:$S$100,2,FALSE), " ")</f>
        <v xml:space="preserve"> </v>
      </c>
      <c r="AM19" s="32"/>
      <c r="AN19" s="32"/>
      <c r="AO19" s="53"/>
      <c r="AP19" s="21" t="str">
        <f>IFERROR(VLOOKUP(February[[#This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21" t="str">
        <f>IFERROR(VLOOKUP(February[[#This Row],[Drug Name7]],'Data Options'!$R$1:$S$100,2,FALSE), " ")</f>
        <v xml:space="preserve"> </v>
      </c>
      <c r="AZ19" s="32"/>
      <c r="BA19" s="32"/>
      <c r="BB19" s="53"/>
      <c r="BC19" s="21" t="str">
        <f>IFERROR(VLOOKUP(February[[#This Row],[Drug Name8]],'Data Options'!$R$1:$S$100,2,FALSE), " ")</f>
        <v xml:space="preserve"> </v>
      </c>
      <c r="BD19" s="32"/>
      <c r="BE19" s="32"/>
      <c r="BF19" s="53"/>
      <c r="BG19" s="21" t="str">
        <f>IFERROR(VLOOKUP(February[[#This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21" t="str">
        <f>IFERROR(VLOOKUP(February[[#This Row],[Drug Name]],'Data Options'!$R$1:$S$100,2,FALSE), " ")</f>
        <v xml:space="preserve"> </v>
      </c>
      <c r="R20" s="32"/>
      <c r="S20" s="32"/>
      <c r="T20" s="53"/>
      <c r="U20" s="21" t="str">
        <f>IFERROR(VLOOKUP(February[[#This Row],[Drug Name2]],'Data Options'!$R$1:$S$100,2,FALSE), " ")</f>
        <v xml:space="preserve"> </v>
      </c>
      <c r="V20" s="32"/>
      <c r="W20" s="32"/>
      <c r="X20" s="53"/>
      <c r="Y20" s="21" t="str">
        <f>IFERROR(VLOOKUP(February[[#This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21" t="str">
        <f>IFERROR(VLOOKUP(February[[#This Row],[Drug Name4]],'Data Options'!$R$1:$S$100,2,FALSE), " ")</f>
        <v xml:space="preserve"> </v>
      </c>
      <c r="AI20" s="32"/>
      <c r="AJ20" s="32"/>
      <c r="AK20" s="53"/>
      <c r="AL20" s="21" t="str">
        <f>IFERROR(VLOOKUP(February[[#This Row],[Drug Name5]],'Data Options'!$R$1:$S$100,2,FALSE), " ")</f>
        <v xml:space="preserve"> </v>
      </c>
      <c r="AM20" s="32"/>
      <c r="AN20" s="32"/>
      <c r="AO20" s="53"/>
      <c r="AP20" s="21" t="str">
        <f>IFERROR(VLOOKUP(February[[#This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21" t="str">
        <f>IFERROR(VLOOKUP(February[[#This Row],[Drug Name7]],'Data Options'!$R$1:$S$100,2,FALSE), " ")</f>
        <v xml:space="preserve"> </v>
      </c>
      <c r="AZ20" s="32"/>
      <c r="BA20" s="32"/>
      <c r="BB20" s="53"/>
      <c r="BC20" s="21" t="str">
        <f>IFERROR(VLOOKUP(February[[#This Row],[Drug Name8]],'Data Options'!$R$1:$S$100,2,FALSE), " ")</f>
        <v xml:space="preserve"> </v>
      </c>
      <c r="BD20" s="32"/>
      <c r="BE20" s="32"/>
      <c r="BF20" s="53"/>
      <c r="BG20" s="21" t="str">
        <f>IFERROR(VLOOKUP(February[[#This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21" t="str">
        <f>IFERROR(VLOOKUP(February[[#This Row],[Drug Name]],'Data Options'!$R$1:$S$100,2,FALSE), " ")</f>
        <v xml:space="preserve"> </v>
      </c>
      <c r="R21" s="32"/>
      <c r="S21" s="32"/>
      <c r="T21" s="53"/>
      <c r="U21" s="21" t="str">
        <f>IFERROR(VLOOKUP(February[[#This Row],[Drug Name2]],'Data Options'!$R$1:$S$100,2,FALSE), " ")</f>
        <v xml:space="preserve"> </v>
      </c>
      <c r="V21" s="32"/>
      <c r="W21" s="32"/>
      <c r="X21" s="53"/>
      <c r="Y21" s="21" t="str">
        <f>IFERROR(VLOOKUP(February[[#This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21" t="str">
        <f>IFERROR(VLOOKUP(February[[#This Row],[Drug Name4]],'Data Options'!$R$1:$S$100,2,FALSE), " ")</f>
        <v xml:space="preserve"> </v>
      </c>
      <c r="AI21" s="32"/>
      <c r="AJ21" s="32"/>
      <c r="AK21" s="53"/>
      <c r="AL21" s="21" t="str">
        <f>IFERROR(VLOOKUP(February[[#This Row],[Drug Name5]],'Data Options'!$R$1:$S$100,2,FALSE), " ")</f>
        <v xml:space="preserve"> </v>
      </c>
      <c r="AM21" s="32"/>
      <c r="AN21" s="32"/>
      <c r="AO21" s="53"/>
      <c r="AP21" s="21" t="str">
        <f>IFERROR(VLOOKUP(February[[#This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21" t="str">
        <f>IFERROR(VLOOKUP(February[[#This Row],[Drug Name7]],'Data Options'!$R$1:$S$100,2,FALSE), " ")</f>
        <v xml:space="preserve"> </v>
      </c>
      <c r="AZ21" s="32"/>
      <c r="BA21" s="32"/>
      <c r="BB21" s="53"/>
      <c r="BC21" s="21" t="str">
        <f>IFERROR(VLOOKUP(February[[#This Row],[Drug Name8]],'Data Options'!$R$1:$S$100,2,FALSE), " ")</f>
        <v xml:space="preserve"> </v>
      </c>
      <c r="BD21" s="32"/>
      <c r="BE21" s="32"/>
      <c r="BF21" s="53"/>
      <c r="BG21" s="21" t="str">
        <f>IFERROR(VLOOKUP(February[[#This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21" t="str">
        <f>IFERROR(VLOOKUP(February[[#This Row],[Drug Name]],'Data Options'!$R$1:$S$100,2,FALSE), " ")</f>
        <v xml:space="preserve"> </v>
      </c>
      <c r="R22" s="32"/>
      <c r="S22" s="32"/>
      <c r="T22" s="53"/>
      <c r="U22" s="21" t="str">
        <f>IFERROR(VLOOKUP(February[[#This Row],[Drug Name2]],'Data Options'!$R$1:$S$100,2,FALSE), " ")</f>
        <v xml:space="preserve"> </v>
      </c>
      <c r="V22" s="32"/>
      <c r="W22" s="32"/>
      <c r="X22" s="53"/>
      <c r="Y22" s="21" t="str">
        <f>IFERROR(VLOOKUP(February[[#This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21" t="str">
        <f>IFERROR(VLOOKUP(February[[#This Row],[Drug Name4]],'Data Options'!$R$1:$S$100,2,FALSE), " ")</f>
        <v xml:space="preserve"> </v>
      </c>
      <c r="AI22" s="32"/>
      <c r="AJ22" s="32"/>
      <c r="AK22" s="53"/>
      <c r="AL22" s="21" t="str">
        <f>IFERROR(VLOOKUP(February[[#This Row],[Drug Name5]],'Data Options'!$R$1:$S$100,2,FALSE), " ")</f>
        <v xml:space="preserve"> </v>
      </c>
      <c r="AM22" s="32"/>
      <c r="AN22" s="32"/>
      <c r="AO22" s="53"/>
      <c r="AP22" s="21" t="str">
        <f>IFERROR(VLOOKUP(February[[#This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21" t="str">
        <f>IFERROR(VLOOKUP(February[[#This Row],[Drug Name7]],'Data Options'!$R$1:$S$100,2,FALSE), " ")</f>
        <v xml:space="preserve"> </v>
      </c>
      <c r="AZ22" s="32"/>
      <c r="BA22" s="32"/>
      <c r="BB22" s="53"/>
      <c r="BC22" s="21" t="str">
        <f>IFERROR(VLOOKUP(February[[#This Row],[Drug Name8]],'Data Options'!$R$1:$S$100,2,FALSE), " ")</f>
        <v xml:space="preserve"> </v>
      </c>
      <c r="BD22" s="32"/>
      <c r="BE22" s="32"/>
      <c r="BF22" s="53"/>
      <c r="BG22" s="21" t="str">
        <f>IFERROR(VLOOKUP(February[[#This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21" t="str">
        <f>IFERROR(VLOOKUP(February[[#This Row],[Drug Name]],'Data Options'!$R$1:$S$100,2,FALSE), " ")</f>
        <v xml:space="preserve"> </v>
      </c>
      <c r="R23" s="32"/>
      <c r="S23" s="32"/>
      <c r="T23" s="53"/>
      <c r="U23" s="21" t="str">
        <f>IFERROR(VLOOKUP(February[[#This Row],[Drug Name2]],'Data Options'!$R$1:$S$100,2,FALSE), " ")</f>
        <v xml:space="preserve"> </v>
      </c>
      <c r="V23" s="32"/>
      <c r="W23" s="32"/>
      <c r="X23" s="53"/>
      <c r="Y23" s="21" t="str">
        <f>IFERROR(VLOOKUP(February[[#This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21" t="str">
        <f>IFERROR(VLOOKUP(February[[#This Row],[Drug Name4]],'Data Options'!$R$1:$S$100,2,FALSE), " ")</f>
        <v xml:space="preserve"> </v>
      </c>
      <c r="AI23" s="32"/>
      <c r="AJ23" s="32"/>
      <c r="AK23" s="53"/>
      <c r="AL23" s="21" t="str">
        <f>IFERROR(VLOOKUP(February[[#This Row],[Drug Name5]],'Data Options'!$R$1:$S$100,2,FALSE), " ")</f>
        <v xml:space="preserve"> </v>
      </c>
      <c r="AM23" s="32"/>
      <c r="AN23" s="32"/>
      <c r="AO23" s="53"/>
      <c r="AP23" s="21" t="str">
        <f>IFERROR(VLOOKUP(February[[#This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21" t="str">
        <f>IFERROR(VLOOKUP(February[[#This Row],[Drug Name7]],'Data Options'!$R$1:$S$100,2,FALSE), " ")</f>
        <v xml:space="preserve"> </v>
      </c>
      <c r="AZ23" s="32"/>
      <c r="BA23" s="32"/>
      <c r="BB23" s="53"/>
      <c r="BC23" s="21" t="str">
        <f>IFERROR(VLOOKUP(February[[#This Row],[Drug Name8]],'Data Options'!$R$1:$S$100,2,FALSE), " ")</f>
        <v xml:space="preserve"> </v>
      </c>
      <c r="BD23" s="32"/>
      <c r="BE23" s="32"/>
      <c r="BF23" s="53"/>
      <c r="BG23" s="21" t="str">
        <f>IFERROR(VLOOKUP(February[[#This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21" t="str">
        <f>IFERROR(VLOOKUP(February[[#This Row],[Drug Name]],'Data Options'!$R$1:$S$100,2,FALSE), " ")</f>
        <v xml:space="preserve"> </v>
      </c>
      <c r="R24" s="32"/>
      <c r="S24" s="32"/>
      <c r="T24" s="53"/>
      <c r="U24" s="21" t="str">
        <f>IFERROR(VLOOKUP(February[[#This Row],[Drug Name2]],'Data Options'!$R$1:$S$100,2,FALSE), " ")</f>
        <v xml:space="preserve"> </v>
      </c>
      <c r="V24" s="32"/>
      <c r="W24" s="32"/>
      <c r="X24" s="53"/>
      <c r="Y24" s="21" t="str">
        <f>IFERROR(VLOOKUP(February[[#This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21" t="str">
        <f>IFERROR(VLOOKUP(February[[#This Row],[Drug Name4]],'Data Options'!$R$1:$S$100,2,FALSE), " ")</f>
        <v xml:space="preserve"> </v>
      </c>
      <c r="AI24" s="32"/>
      <c r="AJ24" s="32"/>
      <c r="AK24" s="53"/>
      <c r="AL24" s="21" t="str">
        <f>IFERROR(VLOOKUP(February[[#This Row],[Drug Name5]],'Data Options'!$R$1:$S$100,2,FALSE), " ")</f>
        <v xml:space="preserve"> </v>
      </c>
      <c r="AM24" s="32"/>
      <c r="AN24" s="32"/>
      <c r="AO24" s="53"/>
      <c r="AP24" s="21" t="str">
        <f>IFERROR(VLOOKUP(February[[#This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21" t="str">
        <f>IFERROR(VLOOKUP(February[[#This Row],[Drug Name7]],'Data Options'!$R$1:$S$100,2,FALSE), " ")</f>
        <v xml:space="preserve"> </v>
      </c>
      <c r="AZ24" s="32"/>
      <c r="BA24" s="32"/>
      <c r="BB24" s="53"/>
      <c r="BC24" s="21" t="str">
        <f>IFERROR(VLOOKUP(February[[#This Row],[Drug Name8]],'Data Options'!$R$1:$S$100,2,FALSE), " ")</f>
        <v xml:space="preserve"> </v>
      </c>
      <c r="BD24" s="32"/>
      <c r="BE24" s="32"/>
      <c r="BF24" s="53"/>
      <c r="BG24" s="21" t="str">
        <f>IFERROR(VLOOKUP(February[[#This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21" t="str">
        <f>IFERROR(VLOOKUP(February[[#This Row],[Drug Name]],'Data Options'!$R$1:$S$100,2,FALSE), " ")</f>
        <v xml:space="preserve"> </v>
      </c>
      <c r="R25" s="32"/>
      <c r="S25" s="32"/>
      <c r="T25" s="53"/>
      <c r="U25" s="21" t="str">
        <f>IFERROR(VLOOKUP(February[[#This Row],[Drug Name2]],'Data Options'!$R$1:$S$100,2,FALSE), " ")</f>
        <v xml:space="preserve"> </v>
      </c>
      <c r="V25" s="32"/>
      <c r="W25" s="32"/>
      <c r="X25" s="53"/>
      <c r="Y25" s="21" t="str">
        <f>IFERROR(VLOOKUP(February[[#This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21" t="str">
        <f>IFERROR(VLOOKUP(February[[#This Row],[Drug Name4]],'Data Options'!$R$1:$S$100,2,FALSE), " ")</f>
        <v xml:space="preserve"> </v>
      </c>
      <c r="AI25" s="32"/>
      <c r="AJ25" s="32"/>
      <c r="AK25" s="53"/>
      <c r="AL25" s="21" t="str">
        <f>IFERROR(VLOOKUP(February[[#This Row],[Drug Name5]],'Data Options'!$R$1:$S$100,2,FALSE), " ")</f>
        <v xml:space="preserve"> </v>
      </c>
      <c r="AM25" s="32"/>
      <c r="AN25" s="32"/>
      <c r="AO25" s="53"/>
      <c r="AP25" s="21" t="str">
        <f>IFERROR(VLOOKUP(February[[#This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21" t="str">
        <f>IFERROR(VLOOKUP(February[[#This Row],[Drug Name7]],'Data Options'!$R$1:$S$100,2,FALSE), " ")</f>
        <v xml:space="preserve"> </v>
      </c>
      <c r="AZ25" s="32"/>
      <c r="BA25" s="32"/>
      <c r="BB25" s="53"/>
      <c r="BC25" s="21" t="str">
        <f>IFERROR(VLOOKUP(February[[#This Row],[Drug Name8]],'Data Options'!$R$1:$S$100,2,FALSE), " ")</f>
        <v xml:space="preserve"> </v>
      </c>
      <c r="BD25" s="32"/>
      <c r="BE25" s="32"/>
      <c r="BF25" s="53"/>
      <c r="BG25" s="21" t="str">
        <f>IFERROR(VLOOKUP(February[[#This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21" t="str">
        <f>IFERROR(VLOOKUP(February[[#This Row],[Drug Name]],'Data Options'!$R$1:$S$100,2,FALSE), " ")</f>
        <v xml:space="preserve"> </v>
      </c>
      <c r="R26" s="32"/>
      <c r="S26" s="32"/>
      <c r="T26" s="53"/>
      <c r="U26" s="21" t="str">
        <f>IFERROR(VLOOKUP(February[[#This Row],[Drug Name2]],'Data Options'!$R$1:$S$100,2,FALSE), " ")</f>
        <v xml:space="preserve"> </v>
      </c>
      <c r="V26" s="32"/>
      <c r="W26" s="32"/>
      <c r="X26" s="53"/>
      <c r="Y26" s="21" t="str">
        <f>IFERROR(VLOOKUP(February[[#This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21" t="str">
        <f>IFERROR(VLOOKUP(February[[#This Row],[Drug Name4]],'Data Options'!$R$1:$S$100,2,FALSE), " ")</f>
        <v xml:space="preserve"> </v>
      </c>
      <c r="AI26" s="32"/>
      <c r="AJ26" s="32"/>
      <c r="AK26" s="53"/>
      <c r="AL26" s="21" t="str">
        <f>IFERROR(VLOOKUP(February[[#This Row],[Drug Name5]],'Data Options'!$R$1:$S$100,2,FALSE), " ")</f>
        <v xml:space="preserve"> </v>
      </c>
      <c r="AM26" s="32"/>
      <c r="AN26" s="32"/>
      <c r="AO26" s="53"/>
      <c r="AP26" s="21" t="str">
        <f>IFERROR(VLOOKUP(February[[#This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21" t="str">
        <f>IFERROR(VLOOKUP(February[[#This Row],[Drug Name7]],'Data Options'!$R$1:$S$100,2,FALSE), " ")</f>
        <v xml:space="preserve"> </v>
      </c>
      <c r="AZ26" s="32"/>
      <c r="BA26" s="32"/>
      <c r="BB26" s="53"/>
      <c r="BC26" s="21" t="str">
        <f>IFERROR(VLOOKUP(February[[#This Row],[Drug Name8]],'Data Options'!$R$1:$S$100,2,FALSE), " ")</f>
        <v xml:space="preserve"> </v>
      </c>
      <c r="BD26" s="32"/>
      <c r="BE26" s="32"/>
      <c r="BF26" s="53"/>
      <c r="BG26" s="21" t="str">
        <f>IFERROR(VLOOKUP(February[[#This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21" t="str">
        <f>IFERROR(VLOOKUP(February[[#This Row],[Drug Name]],'Data Options'!$R$1:$S$100,2,FALSE), " ")</f>
        <v xml:space="preserve"> </v>
      </c>
      <c r="R27" s="32"/>
      <c r="S27" s="32"/>
      <c r="T27" s="53"/>
      <c r="U27" s="21" t="str">
        <f>IFERROR(VLOOKUP(February[[#This Row],[Drug Name2]],'Data Options'!$R$1:$S$100,2,FALSE), " ")</f>
        <v xml:space="preserve"> </v>
      </c>
      <c r="V27" s="32"/>
      <c r="W27" s="32"/>
      <c r="X27" s="53"/>
      <c r="Y27" s="21" t="str">
        <f>IFERROR(VLOOKUP(February[[#This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21" t="str">
        <f>IFERROR(VLOOKUP(February[[#This Row],[Drug Name4]],'Data Options'!$R$1:$S$100,2,FALSE), " ")</f>
        <v xml:space="preserve"> </v>
      </c>
      <c r="AI27" s="32"/>
      <c r="AJ27" s="32"/>
      <c r="AK27" s="53"/>
      <c r="AL27" s="21" t="str">
        <f>IFERROR(VLOOKUP(February[[#This Row],[Drug Name5]],'Data Options'!$R$1:$S$100,2,FALSE), " ")</f>
        <v xml:space="preserve"> </v>
      </c>
      <c r="AM27" s="32"/>
      <c r="AN27" s="32"/>
      <c r="AO27" s="53"/>
      <c r="AP27" s="21" t="str">
        <f>IFERROR(VLOOKUP(February[[#This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21" t="str">
        <f>IFERROR(VLOOKUP(February[[#This Row],[Drug Name7]],'Data Options'!$R$1:$S$100,2,FALSE), " ")</f>
        <v xml:space="preserve"> </v>
      </c>
      <c r="AZ27" s="32"/>
      <c r="BA27" s="32"/>
      <c r="BB27" s="53"/>
      <c r="BC27" s="21" t="str">
        <f>IFERROR(VLOOKUP(February[[#This Row],[Drug Name8]],'Data Options'!$R$1:$S$100,2,FALSE), " ")</f>
        <v xml:space="preserve"> </v>
      </c>
      <c r="BD27" s="32"/>
      <c r="BE27" s="32"/>
      <c r="BF27" s="53"/>
      <c r="BG27" s="21" t="str">
        <f>IFERROR(VLOOKUP(February[[#This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21" t="str">
        <f>IFERROR(VLOOKUP(February[[#This Row],[Drug Name]],'Data Options'!$R$1:$S$100,2,FALSE), " ")</f>
        <v xml:space="preserve"> </v>
      </c>
      <c r="R28" s="32"/>
      <c r="S28" s="32"/>
      <c r="T28" s="53"/>
      <c r="U28" s="21" t="str">
        <f>IFERROR(VLOOKUP(February[[#This Row],[Drug Name2]],'Data Options'!$R$1:$S$100,2,FALSE), " ")</f>
        <v xml:space="preserve"> </v>
      </c>
      <c r="V28" s="32"/>
      <c r="W28" s="32"/>
      <c r="X28" s="53"/>
      <c r="Y28" s="21" t="str">
        <f>IFERROR(VLOOKUP(February[[#This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21" t="str">
        <f>IFERROR(VLOOKUP(February[[#This Row],[Drug Name4]],'Data Options'!$R$1:$S$100,2,FALSE), " ")</f>
        <v xml:space="preserve"> </v>
      </c>
      <c r="AI28" s="32"/>
      <c r="AJ28" s="32"/>
      <c r="AK28" s="53"/>
      <c r="AL28" s="21" t="str">
        <f>IFERROR(VLOOKUP(February[[#This Row],[Drug Name5]],'Data Options'!$R$1:$S$100,2,FALSE), " ")</f>
        <v xml:space="preserve"> </v>
      </c>
      <c r="AM28" s="32"/>
      <c r="AN28" s="32"/>
      <c r="AO28" s="53"/>
      <c r="AP28" s="21" t="str">
        <f>IFERROR(VLOOKUP(February[[#This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21" t="str">
        <f>IFERROR(VLOOKUP(February[[#This Row],[Drug Name7]],'Data Options'!$R$1:$S$100,2,FALSE), " ")</f>
        <v xml:space="preserve"> </v>
      </c>
      <c r="AZ28" s="32"/>
      <c r="BA28" s="32"/>
      <c r="BB28" s="53"/>
      <c r="BC28" s="21" t="str">
        <f>IFERROR(VLOOKUP(February[[#This Row],[Drug Name8]],'Data Options'!$R$1:$S$100,2,FALSE), " ")</f>
        <v xml:space="preserve"> </v>
      </c>
      <c r="BD28" s="32"/>
      <c r="BE28" s="32"/>
      <c r="BF28" s="53"/>
      <c r="BG28" s="21" t="str">
        <f>IFERROR(VLOOKUP(February[[#This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21" t="str">
        <f>IFERROR(VLOOKUP(February[[#This Row],[Drug Name]],'Data Options'!$R$1:$S$100,2,FALSE), " ")</f>
        <v xml:space="preserve"> </v>
      </c>
      <c r="R29" s="32"/>
      <c r="S29" s="32"/>
      <c r="T29" s="53"/>
      <c r="U29" s="21" t="str">
        <f>IFERROR(VLOOKUP(February[[#This Row],[Drug Name2]],'Data Options'!$R$1:$S$100,2,FALSE), " ")</f>
        <v xml:space="preserve"> </v>
      </c>
      <c r="V29" s="32"/>
      <c r="W29" s="32"/>
      <c r="X29" s="53"/>
      <c r="Y29" s="21" t="str">
        <f>IFERROR(VLOOKUP(February[[#This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21" t="str">
        <f>IFERROR(VLOOKUP(February[[#This Row],[Drug Name4]],'Data Options'!$R$1:$S$100,2,FALSE), " ")</f>
        <v xml:space="preserve"> </v>
      </c>
      <c r="AI29" s="32"/>
      <c r="AJ29" s="32"/>
      <c r="AK29" s="53"/>
      <c r="AL29" s="21" t="str">
        <f>IFERROR(VLOOKUP(February[[#This Row],[Drug Name5]],'Data Options'!$R$1:$S$100,2,FALSE), " ")</f>
        <v xml:space="preserve"> </v>
      </c>
      <c r="AM29" s="32"/>
      <c r="AN29" s="32"/>
      <c r="AO29" s="53"/>
      <c r="AP29" s="21" t="str">
        <f>IFERROR(VLOOKUP(February[[#This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21" t="str">
        <f>IFERROR(VLOOKUP(February[[#This Row],[Drug Name7]],'Data Options'!$R$1:$S$100,2,FALSE), " ")</f>
        <v xml:space="preserve"> </v>
      </c>
      <c r="AZ29" s="32"/>
      <c r="BA29" s="32"/>
      <c r="BB29" s="53"/>
      <c r="BC29" s="21" t="str">
        <f>IFERROR(VLOOKUP(February[[#This Row],[Drug Name8]],'Data Options'!$R$1:$S$100,2,FALSE), " ")</f>
        <v xml:space="preserve"> </v>
      </c>
      <c r="BD29" s="32"/>
      <c r="BE29" s="32"/>
      <c r="BF29" s="53"/>
      <c r="BG29" s="21" t="str">
        <f>IFERROR(VLOOKUP(February[[#This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21" t="str">
        <f>IFERROR(VLOOKUP(February[[#This Row],[Drug Name]],'Data Options'!$R$1:$S$100,2,FALSE), " ")</f>
        <v xml:space="preserve"> </v>
      </c>
      <c r="R30" s="32"/>
      <c r="S30" s="32"/>
      <c r="T30" s="53"/>
      <c r="U30" s="21" t="str">
        <f>IFERROR(VLOOKUP(February[[#This Row],[Drug Name2]],'Data Options'!$R$1:$S$100,2,FALSE), " ")</f>
        <v xml:space="preserve"> </v>
      </c>
      <c r="V30" s="32"/>
      <c r="W30" s="32"/>
      <c r="X30" s="53"/>
      <c r="Y30" s="21" t="str">
        <f>IFERROR(VLOOKUP(February[[#This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21" t="str">
        <f>IFERROR(VLOOKUP(February[[#This Row],[Drug Name4]],'Data Options'!$R$1:$S$100,2,FALSE), " ")</f>
        <v xml:space="preserve"> </v>
      </c>
      <c r="AI30" s="32"/>
      <c r="AJ30" s="32"/>
      <c r="AK30" s="53"/>
      <c r="AL30" s="21" t="str">
        <f>IFERROR(VLOOKUP(February[[#This Row],[Drug Name5]],'Data Options'!$R$1:$S$100,2,FALSE), " ")</f>
        <v xml:space="preserve"> </v>
      </c>
      <c r="AM30" s="32"/>
      <c r="AN30" s="32"/>
      <c r="AO30" s="53"/>
      <c r="AP30" s="21" t="str">
        <f>IFERROR(VLOOKUP(February[[#This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21" t="str">
        <f>IFERROR(VLOOKUP(February[[#This Row],[Drug Name7]],'Data Options'!$R$1:$S$100,2,FALSE), " ")</f>
        <v xml:space="preserve"> </v>
      </c>
      <c r="AZ30" s="32"/>
      <c r="BA30" s="32"/>
      <c r="BB30" s="53"/>
      <c r="BC30" s="21" t="str">
        <f>IFERROR(VLOOKUP(February[[#This Row],[Drug Name8]],'Data Options'!$R$1:$S$100,2,FALSE), " ")</f>
        <v xml:space="preserve"> </v>
      </c>
      <c r="BD30" s="32"/>
      <c r="BE30" s="32"/>
      <c r="BF30" s="53"/>
      <c r="BG30" s="21" t="str">
        <f>IFERROR(VLOOKUP(February[[#This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21" t="str">
        <f>IFERROR(VLOOKUP(February[[#This Row],[Drug Name]],'Data Options'!$R$1:$S$100,2,FALSE), " ")</f>
        <v xml:space="preserve"> </v>
      </c>
      <c r="R31" s="32"/>
      <c r="S31" s="32"/>
      <c r="T31" s="53"/>
      <c r="U31" s="21" t="str">
        <f>IFERROR(VLOOKUP(February[[#This Row],[Drug Name2]],'Data Options'!$R$1:$S$100,2,FALSE), " ")</f>
        <v xml:space="preserve"> </v>
      </c>
      <c r="V31" s="32"/>
      <c r="W31" s="32"/>
      <c r="X31" s="53"/>
      <c r="Y31" s="21" t="str">
        <f>IFERROR(VLOOKUP(February[[#This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21" t="str">
        <f>IFERROR(VLOOKUP(February[[#This Row],[Drug Name4]],'Data Options'!$R$1:$S$100,2,FALSE), " ")</f>
        <v xml:space="preserve"> </v>
      </c>
      <c r="AI31" s="32"/>
      <c r="AJ31" s="32"/>
      <c r="AK31" s="53"/>
      <c r="AL31" s="21" t="str">
        <f>IFERROR(VLOOKUP(February[[#This Row],[Drug Name5]],'Data Options'!$R$1:$S$100,2,FALSE), " ")</f>
        <v xml:space="preserve"> </v>
      </c>
      <c r="AM31" s="32"/>
      <c r="AN31" s="32"/>
      <c r="AO31" s="53"/>
      <c r="AP31" s="21" t="str">
        <f>IFERROR(VLOOKUP(February[[#This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21" t="str">
        <f>IFERROR(VLOOKUP(February[[#This Row],[Drug Name7]],'Data Options'!$R$1:$S$100,2,FALSE), " ")</f>
        <v xml:space="preserve"> </v>
      </c>
      <c r="AZ31" s="32"/>
      <c r="BA31" s="32"/>
      <c r="BB31" s="53"/>
      <c r="BC31" s="21" t="str">
        <f>IFERROR(VLOOKUP(February[[#This Row],[Drug Name8]],'Data Options'!$R$1:$S$100,2,FALSE), " ")</f>
        <v xml:space="preserve"> </v>
      </c>
      <c r="BD31" s="32"/>
      <c r="BE31" s="32"/>
      <c r="BF31" s="53"/>
      <c r="BG31" s="21" t="str">
        <f>IFERROR(VLOOKUP(February[[#This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21" t="str">
        <f>IFERROR(VLOOKUP(February[[#This Row],[Drug Name]],'Data Options'!$R$1:$S$100,2,FALSE), " ")</f>
        <v xml:space="preserve"> </v>
      </c>
      <c r="R32" s="32"/>
      <c r="S32" s="32"/>
      <c r="T32" s="53"/>
      <c r="U32" s="21" t="str">
        <f>IFERROR(VLOOKUP(February[[#This Row],[Drug Name2]],'Data Options'!$R$1:$S$100,2,FALSE), " ")</f>
        <v xml:space="preserve"> </v>
      </c>
      <c r="V32" s="32"/>
      <c r="W32" s="32"/>
      <c r="X32" s="53"/>
      <c r="Y32" s="21" t="str">
        <f>IFERROR(VLOOKUP(February[[#This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21" t="str">
        <f>IFERROR(VLOOKUP(February[[#This Row],[Drug Name4]],'Data Options'!$R$1:$S$100,2,FALSE), " ")</f>
        <v xml:space="preserve"> </v>
      </c>
      <c r="AI32" s="32"/>
      <c r="AJ32" s="32"/>
      <c r="AK32" s="53"/>
      <c r="AL32" s="21" t="str">
        <f>IFERROR(VLOOKUP(February[[#This Row],[Drug Name5]],'Data Options'!$R$1:$S$100,2,FALSE), " ")</f>
        <v xml:space="preserve"> </v>
      </c>
      <c r="AM32" s="32"/>
      <c r="AN32" s="32"/>
      <c r="AO32" s="53"/>
      <c r="AP32" s="21" t="str">
        <f>IFERROR(VLOOKUP(February[[#This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21" t="str">
        <f>IFERROR(VLOOKUP(February[[#This Row],[Drug Name7]],'Data Options'!$R$1:$S$100,2,FALSE), " ")</f>
        <v xml:space="preserve"> </v>
      </c>
      <c r="AZ32" s="32"/>
      <c r="BA32" s="32"/>
      <c r="BB32" s="53"/>
      <c r="BC32" s="21" t="str">
        <f>IFERROR(VLOOKUP(February[[#This Row],[Drug Name8]],'Data Options'!$R$1:$S$100,2,FALSE), " ")</f>
        <v xml:space="preserve"> </v>
      </c>
      <c r="BD32" s="32"/>
      <c r="BE32" s="32"/>
      <c r="BF32" s="53"/>
      <c r="BG32" s="21" t="str">
        <f>IFERROR(VLOOKUP(February[[#This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21" t="str">
        <f>IFERROR(VLOOKUP(February[[#This Row],[Drug Name]],'Data Options'!$R$1:$S$100,2,FALSE), " ")</f>
        <v xml:space="preserve"> </v>
      </c>
      <c r="R33" s="32"/>
      <c r="S33" s="32"/>
      <c r="T33" s="53"/>
      <c r="U33" s="21" t="str">
        <f>IFERROR(VLOOKUP(February[[#This Row],[Drug Name2]],'Data Options'!$R$1:$S$100,2,FALSE), " ")</f>
        <v xml:space="preserve"> </v>
      </c>
      <c r="V33" s="32"/>
      <c r="W33" s="32"/>
      <c r="X33" s="53"/>
      <c r="Y33" s="21" t="str">
        <f>IFERROR(VLOOKUP(February[[#This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21" t="str">
        <f>IFERROR(VLOOKUP(February[[#This Row],[Drug Name4]],'Data Options'!$R$1:$S$100,2,FALSE), " ")</f>
        <v xml:space="preserve"> </v>
      </c>
      <c r="AI33" s="32"/>
      <c r="AJ33" s="32"/>
      <c r="AK33" s="53"/>
      <c r="AL33" s="21" t="str">
        <f>IFERROR(VLOOKUP(February[[#This Row],[Drug Name5]],'Data Options'!$R$1:$S$100,2,FALSE), " ")</f>
        <v xml:space="preserve"> </v>
      </c>
      <c r="AM33" s="32"/>
      <c r="AN33" s="32"/>
      <c r="AO33" s="53"/>
      <c r="AP33" s="21" t="str">
        <f>IFERROR(VLOOKUP(February[[#This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21" t="str">
        <f>IFERROR(VLOOKUP(February[[#This Row],[Drug Name7]],'Data Options'!$R$1:$S$100,2,FALSE), " ")</f>
        <v xml:space="preserve"> </v>
      </c>
      <c r="AZ33" s="32"/>
      <c r="BA33" s="32"/>
      <c r="BB33" s="53"/>
      <c r="BC33" s="21" t="str">
        <f>IFERROR(VLOOKUP(February[[#This Row],[Drug Name8]],'Data Options'!$R$1:$S$100,2,FALSE), " ")</f>
        <v xml:space="preserve"> </v>
      </c>
      <c r="BD33" s="32"/>
      <c r="BE33" s="32"/>
      <c r="BF33" s="53"/>
      <c r="BG33" s="21" t="str">
        <f>IFERROR(VLOOKUP(February[[#This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21" t="str">
        <f>IFERROR(VLOOKUP(February[[#This Row],[Drug Name]],'Data Options'!$R$1:$S$100,2,FALSE), " ")</f>
        <v xml:space="preserve"> </v>
      </c>
      <c r="R34" s="32"/>
      <c r="S34" s="32"/>
      <c r="T34" s="53"/>
      <c r="U34" s="21" t="str">
        <f>IFERROR(VLOOKUP(February[[#This Row],[Drug Name2]],'Data Options'!$R$1:$S$100,2,FALSE), " ")</f>
        <v xml:space="preserve"> </v>
      </c>
      <c r="V34" s="32"/>
      <c r="W34" s="32"/>
      <c r="X34" s="53"/>
      <c r="Y34" s="21" t="str">
        <f>IFERROR(VLOOKUP(February[[#This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21" t="str">
        <f>IFERROR(VLOOKUP(February[[#This Row],[Drug Name4]],'Data Options'!$R$1:$S$100,2,FALSE), " ")</f>
        <v xml:space="preserve"> </v>
      </c>
      <c r="AI34" s="32"/>
      <c r="AJ34" s="32"/>
      <c r="AK34" s="53"/>
      <c r="AL34" s="21" t="str">
        <f>IFERROR(VLOOKUP(February[[#This Row],[Drug Name5]],'Data Options'!$R$1:$S$100,2,FALSE), " ")</f>
        <v xml:space="preserve"> </v>
      </c>
      <c r="AM34" s="32"/>
      <c r="AN34" s="32"/>
      <c r="AO34" s="53"/>
      <c r="AP34" s="21" t="str">
        <f>IFERROR(VLOOKUP(February[[#This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21" t="str">
        <f>IFERROR(VLOOKUP(February[[#This Row],[Drug Name7]],'Data Options'!$R$1:$S$100,2,FALSE), " ")</f>
        <v xml:space="preserve"> </v>
      </c>
      <c r="AZ34" s="32"/>
      <c r="BA34" s="32"/>
      <c r="BB34" s="53"/>
      <c r="BC34" s="21" t="str">
        <f>IFERROR(VLOOKUP(February[[#This Row],[Drug Name8]],'Data Options'!$R$1:$S$100,2,FALSE), " ")</f>
        <v xml:space="preserve"> </v>
      </c>
      <c r="BD34" s="32"/>
      <c r="BE34" s="32"/>
      <c r="BF34" s="53"/>
      <c r="BG34" s="21" t="str">
        <f>IFERROR(VLOOKUP(February[[#This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21" t="str">
        <f>IFERROR(VLOOKUP(February[[#This Row],[Drug Name]],'Data Options'!$R$1:$S$100,2,FALSE), " ")</f>
        <v xml:space="preserve"> </v>
      </c>
      <c r="R35" s="32"/>
      <c r="S35" s="32"/>
      <c r="T35" s="53"/>
      <c r="U35" s="21" t="str">
        <f>IFERROR(VLOOKUP(February[[#This Row],[Drug Name2]],'Data Options'!$R$1:$S$100,2,FALSE), " ")</f>
        <v xml:space="preserve"> </v>
      </c>
      <c r="V35" s="32"/>
      <c r="W35" s="32"/>
      <c r="X35" s="53"/>
      <c r="Y35" s="21" t="str">
        <f>IFERROR(VLOOKUP(February[[#This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21" t="str">
        <f>IFERROR(VLOOKUP(February[[#This Row],[Drug Name4]],'Data Options'!$R$1:$S$100,2,FALSE), " ")</f>
        <v xml:space="preserve"> </v>
      </c>
      <c r="AI35" s="32"/>
      <c r="AJ35" s="32"/>
      <c r="AK35" s="53"/>
      <c r="AL35" s="21" t="str">
        <f>IFERROR(VLOOKUP(February[[#This Row],[Drug Name5]],'Data Options'!$R$1:$S$100,2,FALSE), " ")</f>
        <v xml:space="preserve"> </v>
      </c>
      <c r="AM35" s="32"/>
      <c r="AN35" s="32"/>
      <c r="AO35" s="53"/>
      <c r="AP35" s="21" t="str">
        <f>IFERROR(VLOOKUP(February[[#This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21" t="str">
        <f>IFERROR(VLOOKUP(February[[#This Row],[Drug Name7]],'Data Options'!$R$1:$S$100,2,FALSE), " ")</f>
        <v xml:space="preserve"> </v>
      </c>
      <c r="AZ35" s="32"/>
      <c r="BA35" s="32"/>
      <c r="BB35" s="53"/>
      <c r="BC35" s="21" t="str">
        <f>IFERROR(VLOOKUP(February[[#This Row],[Drug Name8]],'Data Options'!$R$1:$S$100,2,FALSE), " ")</f>
        <v xml:space="preserve"> </v>
      </c>
      <c r="BD35" s="32"/>
      <c r="BE35" s="32"/>
      <c r="BF35" s="53"/>
      <c r="BG35" s="21" t="str">
        <f>IFERROR(VLOOKUP(February[[#This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21" t="str">
        <f>IFERROR(VLOOKUP(February[[#This Row],[Drug Name]],'Data Options'!$R$1:$S$100,2,FALSE), " ")</f>
        <v xml:space="preserve"> </v>
      </c>
      <c r="R36" s="32"/>
      <c r="S36" s="32"/>
      <c r="T36" s="53"/>
      <c r="U36" s="21" t="str">
        <f>IFERROR(VLOOKUP(February[[#This Row],[Drug Name2]],'Data Options'!$R$1:$S$100,2,FALSE), " ")</f>
        <v xml:space="preserve"> </v>
      </c>
      <c r="V36" s="32"/>
      <c r="W36" s="32"/>
      <c r="X36" s="53"/>
      <c r="Y36" s="21" t="str">
        <f>IFERROR(VLOOKUP(February[[#This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21" t="str">
        <f>IFERROR(VLOOKUP(February[[#This Row],[Drug Name4]],'Data Options'!$R$1:$S$100,2,FALSE), " ")</f>
        <v xml:space="preserve"> </v>
      </c>
      <c r="AI36" s="32"/>
      <c r="AJ36" s="32"/>
      <c r="AK36" s="53"/>
      <c r="AL36" s="21" t="str">
        <f>IFERROR(VLOOKUP(February[[#This Row],[Drug Name5]],'Data Options'!$R$1:$S$100,2,FALSE), " ")</f>
        <v xml:space="preserve"> </v>
      </c>
      <c r="AM36" s="32"/>
      <c r="AN36" s="32"/>
      <c r="AO36" s="53"/>
      <c r="AP36" s="21" t="str">
        <f>IFERROR(VLOOKUP(February[[#This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21" t="str">
        <f>IFERROR(VLOOKUP(February[[#This Row],[Drug Name7]],'Data Options'!$R$1:$S$100,2,FALSE), " ")</f>
        <v xml:space="preserve"> </v>
      </c>
      <c r="AZ36" s="32"/>
      <c r="BA36" s="32"/>
      <c r="BB36" s="53"/>
      <c r="BC36" s="21" t="str">
        <f>IFERROR(VLOOKUP(February[[#This Row],[Drug Name8]],'Data Options'!$R$1:$S$100,2,FALSE), " ")</f>
        <v xml:space="preserve"> </v>
      </c>
      <c r="BD36" s="32"/>
      <c r="BE36" s="32"/>
      <c r="BF36" s="53"/>
      <c r="BG36" s="21" t="str">
        <f>IFERROR(VLOOKUP(February[[#This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21" t="str">
        <f>IFERROR(VLOOKUP(February[[#This Row],[Drug Name]],'Data Options'!$R$1:$S$100,2,FALSE), " ")</f>
        <v xml:space="preserve"> </v>
      </c>
      <c r="R37" s="32"/>
      <c r="S37" s="32"/>
      <c r="T37" s="53"/>
      <c r="U37" s="21" t="str">
        <f>IFERROR(VLOOKUP(February[[#This Row],[Drug Name2]],'Data Options'!$R$1:$S$100,2,FALSE), " ")</f>
        <v xml:space="preserve"> </v>
      </c>
      <c r="V37" s="32"/>
      <c r="W37" s="32"/>
      <c r="X37" s="53"/>
      <c r="Y37" s="21" t="str">
        <f>IFERROR(VLOOKUP(February[[#This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21" t="str">
        <f>IFERROR(VLOOKUP(February[[#This Row],[Drug Name4]],'Data Options'!$R$1:$S$100,2,FALSE), " ")</f>
        <v xml:space="preserve"> </v>
      </c>
      <c r="AI37" s="32"/>
      <c r="AJ37" s="32"/>
      <c r="AK37" s="53"/>
      <c r="AL37" s="21" t="str">
        <f>IFERROR(VLOOKUP(February[[#This Row],[Drug Name5]],'Data Options'!$R$1:$S$100,2,FALSE), " ")</f>
        <v xml:space="preserve"> </v>
      </c>
      <c r="AM37" s="32"/>
      <c r="AN37" s="32"/>
      <c r="AO37" s="53"/>
      <c r="AP37" s="21" t="str">
        <f>IFERROR(VLOOKUP(February[[#This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21" t="str">
        <f>IFERROR(VLOOKUP(February[[#This Row],[Drug Name7]],'Data Options'!$R$1:$S$100,2,FALSE), " ")</f>
        <v xml:space="preserve"> </v>
      </c>
      <c r="AZ37" s="32"/>
      <c r="BA37" s="32"/>
      <c r="BB37" s="53"/>
      <c r="BC37" s="21" t="str">
        <f>IFERROR(VLOOKUP(February[[#This Row],[Drug Name8]],'Data Options'!$R$1:$S$100,2,FALSE), " ")</f>
        <v xml:space="preserve"> </v>
      </c>
      <c r="BD37" s="32"/>
      <c r="BE37" s="32"/>
      <c r="BF37" s="53"/>
      <c r="BG37" s="21" t="str">
        <f>IFERROR(VLOOKUP(February[[#This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21" t="str">
        <f>IFERROR(VLOOKUP(February[[#This Row],[Drug Name]],'Data Options'!$R$1:$S$100,2,FALSE), " ")</f>
        <v xml:space="preserve"> </v>
      </c>
      <c r="R38" s="32"/>
      <c r="S38" s="32"/>
      <c r="T38" s="53"/>
      <c r="U38" s="21" t="str">
        <f>IFERROR(VLOOKUP(February[[#This Row],[Drug Name2]],'Data Options'!$R$1:$S$100,2,FALSE), " ")</f>
        <v xml:space="preserve"> </v>
      </c>
      <c r="V38" s="32"/>
      <c r="W38" s="32"/>
      <c r="X38" s="53"/>
      <c r="Y38" s="21" t="str">
        <f>IFERROR(VLOOKUP(February[[#This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21" t="str">
        <f>IFERROR(VLOOKUP(February[[#This Row],[Drug Name4]],'Data Options'!$R$1:$S$100,2,FALSE), " ")</f>
        <v xml:space="preserve"> </v>
      </c>
      <c r="AI38" s="32"/>
      <c r="AJ38" s="32"/>
      <c r="AK38" s="53"/>
      <c r="AL38" s="21" t="str">
        <f>IFERROR(VLOOKUP(February[[#This Row],[Drug Name5]],'Data Options'!$R$1:$S$100,2,FALSE), " ")</f>
        <v xml:space="preserve"> </v>
      </c>
      <c r="AM38" s="32"/>
      <c r="AN38" s="32"/>
      <c r="AO38" s="53"/>
      <c r="AP38" s="21" t="str">
        <f>IFERROR(VLOOKUP(February[[#This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21" t="str">
        <f>IFERROR(VLOOKUP(February[[#This Row],[Drug Name7]],'Data Options'!$R$1:$S$100,2,FALSE), " ")</f>
        <v xml:space="preserve"> </v>
      </c>
      <c r="AZ38" s="32"/>
      <c r="BA38" s="32"/>
      <c r="BB38" s="53"/>
      <c r="BC38" s="21" t="str">
        <f>IFERROR(VLOOKUP(February[[#This Row],[Drug Name8]],'Data Options'!$R$1:$S$100,2,FALSE), " ")</f>
        <v xml:space="preserve"> </v>
      </c>
      <c r="BD38" s="32"/>
      <c r="BE38" s="32"/>
      <c r="BF38" s="53"/>
      <c r="BG38" s="21" t="str">
        <f>IFERROR(VLOOKUP(February[[#This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21" t="str">
        <f>IFERROR(VLOOKUP(February[[#This Row],[Drug Name]],'Data Options'!$R$1:$S$100,2,FALSE), " ")</f>
        <v xml:space="preserve"> </v>
      </c>
      <c r="R39" s="32"/>
      <c r="S39" s="32"/>
      <c r="T39" s="53"/>
      <c r="U39" s="21" t="str">
        <f>IFERROR(VLOOKUP(February[[#This Row],[Drug Name2]],'Data Options'!$R$1:$S$100,2,FALSE), " ")</f>
        <v xml:space="preserve"> </v>
      </c>
      <c r="V39" s="32"/>
      <c r="W39" s="32"/>
      <c r="X39" s="53"/>
      <c r="Y39" s="21" t="str">
        <f>IFERROR(VLOOKUP(February[[#This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21" t="str">
        <f>IFERROR(VLOOKUP(February[[#This Row],[Drug Name4]],'Data Options'!$R$1:$S$100,2,FALSE), " ")</f>
        <v xml:space="preserve"> </v>
      </c>
      <c r="AI39" s="32"/>
      <c r="AJ39" s="32"/>
      <c r="AK39" s="53"/>
      <c r="AL39" s="21" t="str">
        <f>IFERROR(VLOOKUP(February[[#This Row],[Drug Name5]],'Data Options'!$R$1:$S$100,2,FALSE), " ")</f>
        <v xml:space="preserve"> </v>
      </c>
      <c r="AM39" s="32"/>
      <c r="AN39" s="32"/>
      <c r="AO39" s="53"/>
      <c r="AP39" s="21" t="str">
        <f>IFERROR(VLOOKUP(February[[#This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21" t="str">
        <f>IFERROR(VLOOKUP(February[[#This Row],[Drug Name7]],'Data Options'!$R$1:$S$100,2,FALSE), " ")</f>
        <v xml:space="preserve"> </v>
      </c>
      <c r="AZ39" s="32"/>
      <c r="BA39" s="32"/>
      <c r="BB39" s="53"/>
      <c r="BC39" s="21" t="str">
        <f>IFERROR(VLOOKUP(February[[#This Row],[Drug Name8]],'Data Options'!$R$1:$S$100,2,FALSE), " ")</f>
        <v xml:space="preserve"> </v>
      </c>
      <c r="BD39" s="32"/>
      <c r="BE39" s="32"/>
      <c r="BF39" s="53"/>
      <c r="BG39" s="21" t="str">
        <f>IFERROR(VLOOKUP(February[[#This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21" t="str">
        <f>IFERROR(VLOOKUP(February[[#This Row],[Drug Name]],'Data Options'!$R$1:$S$100,2,FALSE), " ")</f>
        <v xml:space="preserve"> </v>
      </c>
      <c r="R40" s="32"/>
      <c r="S40" s="32"/>
      <c r="T40" s="53"/>
      <c r="U40" s="21" t="str">
        <f>IFERROR(VLOOKUP(February[[#This Row],[Drug Name2]],'Data Options'!$R$1:$S$100,2,FALSE), " ")</f>
        <v xml:space="preserve"> </v>
      </c>
      <c r="V40" s="32"/>
      <c r="W40" s="32"/>
      <c r="X40" s="53"/>
      <c r="Y40" s="21" t="str">
        <f>IFERROR(VLOOKUP(February[[#This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21" t="str">
        <f>IFERROR(VLOOKUP(February[[#This Row],[Drug Name4]],'Data Options'!$R$1:$S$100,2,FALSE), " ")</f>
        <v xml:space="preserve"> </v>
      </c>
      <c r="AI40" s="32"/>
      <c r="AJ40" s="32"/>
      <c r="AK40" s="53"/>
      <c r="AL40" s="21" t="str">
        <f>IFERROR(VLOOKUP(February[[#This Row],[Drug Name5]],'Data Options'!$R$1:$S$100,2,FALSE), " ")</f>
        <v xml:space="preserve"> </v>
      </c>
      <c r="AM40" s="32"/>
      <c r="AN40" s="32"/>
      <c r="AO40" s="53"/>
      <c r="AP40" s="21" t="str">
        <f>IFERROR(VLOOKUP(February[[#This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21" t="str">
        <f>IFERROR(VLOOKUP(February[[#This Row],[Drug Name7]],'Data Options'!$R$1:$S$100,2,FALSE), " ")</f>
        <v xml:space="preserve"> </v>
      </c>
      <c r="AZ40" s="32"/>
      <c r="BA40" s="32"/>
      <c r="BB40" s="53"/>
      <c r="BC40" s="21" t="str">
        <f>IFERROR(VLOOKUP(February[[#This Row],[Drug Name8]],'Data Options'!$R$1:$S$100,2,FALSE), " ")</f>
        <v xml:space="preserve"> </v>
      </c>
      <c r="BD40" s="32"/>
      <c r="BE40" s="32"/>
      <c r="BF40" s="53"/>
      <c r="BG40" s="21" t="str">
        <f>IFERROR(VLOOKUP(February[[#This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21" t="str">
        <f>IFERROR(VLOOKUP(February[[#This Row],[Drug Name]],'Data Options'!$R$1:$S$100,2,FALSE), " ")</f>
        <v xml:space="preserve"> </v>
      </c>
      <c r="R41" s="32"/>
      <c r="S41" s="32"/>
      <c r="T41" s="53"/>
      <c r="U41" s="21" t="str">
        <f>IFERROR(VLOOKUP(February[[#This Row],[Drug Name2]],'Data Options'!$R$1:$S$100,2,FALSE), " ")</f>
        <v xml:space="preserve"> </v>
      </c>
      <c r="V41" s="32"/>
      <c r="W41" s="32"/>
      <c r="X41" s="53"/>
      <c r="Y41" s="21" t="str">
        <f>IFERROR(VLOOKUP(February[[#This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21" t="str">
        <f>IFERROR(VLOOKUP(February[[#This Row],[Drug Name4]],'Data Options'!$R$1:$S$100,2,FALSE), " ")</f>
        <v xml:space="preserve"> </v>
      </c>
      <c r="AI41" s="32"/>
      <c r="AJ41" s="32"/>
      <c r="AK41" s="53"/>
      <c r="AL41" s="21" t="str">
        <f>IFERROR(VLOOKUP(February[[#This Row],[Drug Name5]],'Data Options'!$R$1:$S$100,2,FALSE), " ")</f>
        <v xml:space="preserve"> </v>
      </c>
      <c r="AM41" s="32"/>
      <c r="AN41" s="32"/>
      <c r="AO41" s="53"/>
      <c r="AP41" s="21" t="str">
        <f>IFERROR(VLOOKUP(February[[#This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21" t="str">
        <f>IFERROR(VLOOKUP(February[[#This Row],[Drug Name7]],'Data Options'!$R$1:$S$100,2,FALSE), " ")</f>
        <v xml:space="preserve"> </v>
      </c>
      <c r="AZ41" s="32"/>
      <c r="BA41" s="32"/>
      <c r="BB41" s="53"/>
      <c r="BC41" s="21" t="str">
        <f>IFERROR(VLOOKUP(February[[#This Row],[Drug Name8]],'Data Options'!$R$1:$S$100,2,FALSE), " ")</f>
        <v xml:space="preserve"> </v>
      </c>
      <c r="BD41" s="32"/>
      <c r="BE41" s="32"/>
      <c r="BF41" s="53"/>
      <c r="BG41" s="21" t="str">
        <f>IFERROR(VLOOKUP(February[[#This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21" t="str">
        <f>IFERROR(VLOOKUP(February[[#This Row],[Drug Name]],'Data Options'!$R$1:$S$100,2,FALSE), " ")</f>
        <v xml:space="preserve"> </v>
      </c>
      <c r="R42" s="32"/>
      <c r="S42" s="32"/>
      <c r="T42" s="53"/>
      <c r="U42" s="21" t="str">
        <f>IFERROR(VLOOKUP(February[[#This Row],[Drug Name2]],'Data Options'!$R$1:$S$100,2,FALSE), " ")</f>
        <v xml:space="preserve"> </v>
      </c>
      <c r="V42" s="32"/>
      <c r="W42" s="32"/>
      <c r="X42" s="53"/>
      <c r="Y42" s="21" t="str">
        <f>IFERROR(VLOOKUP(February[[#This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21" t="str">
        <f>IFERROR(VLOOKUP(February[[#This Row],[Drug Name4]],'Data Options'!$R$1:$S$100,2,FALSE), " ")</f>
        <v xml:space="preserve"> </v>
      </c>
      <c r="AI42" s="32"/>
      <c r="AJ42" s="32"/>
      <c r="AK42" s="53"/>
      <c r="AL42" s="21" t="str">
        <f>IFERROR(VLOOKUP(February[[#This Row],[Drug Name5]],'Data Options'!$R$1:$S$100,2,FALSE), " ")</f>
        <v xml:space="preserve"> </v>
      </c>
      <c r="AM42" s="32"/>
      <c r="AN42" s="32"/>
      <c r="AO42" s="53"/>
      <c r="AP42" s="21" t="str">
        <f>IFERROR(VLOOKUP(February[[#This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21" t="str">
        <f>IFERROR(VLOOKUP(February[[#This Row],[Drug Name7]],'Data Options'!$R$1:$S$100,2,FALSE), " ")</f>
        <v xml:space="preserve"> </v>
      </c>
      <c r="AZ42" s="32"/>
      <c r="BA42" s="32"/>
      <c r="BB42" s="53"/>
      <c r="BC42" s="21" t="str">
        <f>IFERROR(VLOOKUP(February[[#This Row],[Drug Name8]],'Data Options'!$R$1:$S$100,2,FALSE), " ")</f>
        <v xml:space="preserve"> </v>
      </c>
      <c r="BD42" s="32"/>
      <c r="BE42" s="32"/>
      <c r="BF42" s="53"/>
      <c r="BG42" s="21" t="str">
        <f>IFERROR(VLOOKUP(February[[#This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21" t="str">
        <f>IFERROR(VLOOKUP(February[[#This Row],[Drug Name]],'Data Options'!$R$1:$S$100,2,FALSE), " ")</f>
        <v xml:space="preserve"> </v>
      </c>
      <c r="R43" s="32"/>
      <c r="S43" s="32"/>
      <c r="T43" s="53"/>
      <c r="U43" s="21" t="str">
        <f>IFERROR(VLOOKUP(February[[#This Row],[Drug Name2]],'Data Options'!$R$1:$S$100,2,FALSE), " ")</f>
        <v xml:space="preserve"> </v>
      </c>
      <c r="V43" s="32"/>
      <c r="W43" s="32"/>
      <c r="X43" s="53"/>
      <c r="Y43" s="21" t="str">
        <f>IFERROR(VLOOKUP(February[[#This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21" t="str">
        <f>IFERROR(VLOOKUP(February[[#This Row],[Drug Name4]],'Data Options'!$R$1:$S$100,2,FALSE), " ")</f>
        <v xml:space="preserve"> </v>
      </c>
      <c r="AI43" s="32"/>
      <c r="AJ43" s="32"/>
      <c r="AK43" s="53"/>
      <c r="AL43" s="21" t="str">
        <f>IFERROR(VLOOKUP(February[[#This Row],[Drug Name5]],'Data Options'!$R$1:$S$100,2,FALSE), " ")</f>
        <v xml:space="preserve"> </v>
      </c>
      <c r="AM43" s="32"/>
      <c r="AN43" s="32"/>
      <c r="AO43" s="53"/>
      <c r="AP43" s="21" t="str">
        <f>IFERROR(VLOOKUP(February[[#This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21" t="str">
        <f>IFERROR(VLOOKUP(February[[#This Row],[Drug Name7]],'Data Options'!$R$1:$S$100,2,FALSE), " ")</f>
        <v xml:space="preserve"> </v>
      </c>
      <c r="AZ43" s="32"/>
      <c r="BA43" s="32"/>
      <c r="BB43" s="53"/>
      <c r="BC43" s="21" t="str">
        <f>IFERROR(VLOOKUP(February[[#This Row],[Drug Name8]],'Data Options'!$R$1:$S$100,2,FALSE), " ")</f>
        <v xml:space="preserve"> </v>
      </c>
      <c r="BD43" s="32"/>
      <c r="BE43" s="32"/>
      <c r="BF43" s="53"/>
      <c r="BG43" s="21" t="str">
        <f>IFERROR(VLOOKUP(February[[#This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21" t="str">
        <f>IFERROR(VLOOKUP(February[[#This Row],[Drug Name]],'Data Options'!$R$1:$S$100,2,FALSE), " ")</f>
        <v xml:space="preserve"> </v>
      </c>
      <c r="R44" s="32"/>
      <c r="S44" s="32"/>
      <c r="T44" s="53"/>
      <c r="U44" s="21" t="str">
        <f>IFERROR(VLOOKUP(February[[#This Row],[Drug Name2]],'Data Options'!$R$1:$S$100,2,FALSE), " ")</f>
        <v xml:space="preserve"> </v>
      </c>
      <c r="V44" s="32"/>
      <c r="W44" s="32"/>
      <c r="X44" s="53"/>
      <c r="Y44" s="21" t="str">
        <f>IFERROR(VLOOKUP(February[[#This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21" t="str">
        <f>IFERROR(VLOOKUP(February[[#This Row],[Drug Name4]],'Data Options'!$R$1:$S$100,2,FALSE), " ")</f>
        <v xml:space="preserve"> </v>
      </c>
      <c r="AI44" s="32"/>
      <c r="AJ44" s="32"/>
      <c r="AK44" s="53"/>
      <c r="AL44" s="21" t="str">
        <f>IFERROR(VLOOKUP(February[[#This Row],[Drug Name5]],'Data Options'!$R$1:$S$100,2,FALSE), " ")</f>
        <v xml:space="preserve"> </v>
      </c>
      <c r="AM44" s="32"/>
      <c r="AN44" s="32"/>
      <c r="AO44" s="53"/>
      <c r="AP44" s="21" t="str">
        <f>IFERROR(VLOOKUP(February[[#This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21" t="str">
        <f>IFERROR(VLOOKUP(February[[#This Row],[Drug Name7]],'Data Options'!$R$1:$S$100,2,FALSE), " ")</f>
        <v xml:space="preserve"> </v>
      </c>
      <c r="AZ44" s="32"/>
      <c r="BA44" s="32"/>
      <c r="BB44" s="53"/>
      <c r="BC44" s="21" t="str">
        <f>IFERROR(VLOOKUP(February[[#This Row],[Drug Name8]],'Data Options'!$R$1:$S$100,2,FALSE), " ")</f>
        <v xml:space="preserve"> </v>
      </c>
      <c r="BD44" s="32"/>
      <c r="BE44" s="32"/>
      <c r="BF44" s="53"/>
      <c r="BG44" s="21" t="str">
        <f>IFERROR(VLOOKUP(February[[#This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21" t="str">
        <f>IFERROR(VLOOKUP(February[[#This Row],[Drug Name]],'Data Options'!$R$1:$S$100,2,FALSE), " ")</f>
        <v xml:space="preserve"> </v>
      </c>
      <c r="R45" s="32"/>
      <c r="S45" s="32"/>
      <c r="T45" s="53"/>
      <c r="U45" s="21" t="str">
        <f>IFERROR(VLOOKUP(February[[#This Row],[Drug Name2]],'Data Options'!$R$1:$S$100,2,FALSE), " ")</f>
        <v xml:space="preserve"> </v>
      </c>
      <c r="V45" s="32"/>
      <c r="W45" s="32"/>
      <c r="X45" s="53"/>
      <c r="Y45" s="21" t="str">
        <f>IFERROR(VLOOKUP(February[[#This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21" t="str">
        <f>IFERROR(VLOOKUP(February[[#This Row],[Drug Name4]],'Data Options'!$R$1:$S$100,2,FALSE), " ")</f>
        <v xml:space="preserve"> </v>
      </c>
      <c r="AI45" s="32"/>
      <c r="AJ45" s="32"/>
      <c r="AK45" s="53"/>
      <c r="AL45" s="21" t="str">
        <f>IFERROR(VLOOKUP(February[[#This Row],[Drug Name5]],'Data Options'!$R$1:$S$100,2,FALSE), " ")</f>
        <v xml:space="preserve"> </v>
      </c>
      <c r="AM45" s="32"/>
      <c r="AN45" s="32"/>
      <c r="AO45" s="53"/>
      <c r="AP45" s="21" t="str">
        <f>IFERROR(VLOOKUP(February[[#This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21" t="str">
        <f>IFERROR(VLOOKUP(February[[#This Row],[Drug Name7]],'Data Options'!$R$1:$S$100,2,FALSE), " ")</f>
        <v xml:space="preserve"> </v>
      </c>
      <c r="AZ45" s="32"/>
      <c r="BA45" s="32"/>
      <c r="BB45" s="53"/>
      <c r="BC45" s="21" t="str">
        <f>IFERROR(VLOOKUP(February[[#This Row],[Drug Name8]],'Data Options'!$R$1:$S$100,2,FALSE), " ")</f>
        <v xml:space="preserve"> </v>
      </c>
      <c r="BD45" s="32"/>
      <c r="BE45" s="32"/>
      <c r="BF45" s="53"/>
      <c r="BG45" s="21" t="str">
        <f>IFERROR(VLOOKUP(February[[#This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21" t="str">
        <f>IFERROR(VLOOKUP(February[[#This Row],[Drug Name]],'Data Options'!$R$1:$S$100,2,FALSE), " ")</f>
        <v xml:space="preserve"> </v>
      </c>
      <c r="R46" s="32"/>
      <c r="S46" s="32"/>
      <c r="T46" s="53"/>
      <c r="U46" s="21" t="str">
        <f>IFERROR(VLOOKUP(February[[#This Row],[Drug Name2]],'Data Options'!$R$1:$S$100,2,FALSE), " ")</f>
        <v xml:space="preserve"> </v>
      </c>
      <c r="V46" s="32"/>
      <c r="W46" s="32"/>
      <c r="X46" s="53"/>
      <c r="Y46" s="21" t="str">
        <f>IFERROR(VLOOKUP(February[[#This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21" t="str">
        <f>IFERROR(VLOOKUP(February[[#This Row],[Drug Name4]],'Data Options'!$R$1:$S$100,2,FALSE), " ")</f>
        <v xml:space="preserve"> </v>
      </c>
      <c r="AI46" s="32"/>
      <c r="AJ46" s="32"/>
      <c r="AK46" s="53"/>
      <c r="AL46" s="21" t="str">
        <f>IFERROR(VLOOKUP(February[[#This Row],[Drug Name5]],'Data Options'!$R$1:$S$100,2,FALSE), " ")</f>
        <v xml:space="preserve"> </v>
      </c>
      <c r="AM46" s="32"/>
      <c r="AN46" s="32"/>
      <c r="AO46" s="53"/>
      <c r="AP46" s="21" t="str">
        <f>IFERROR(VLOOKUP(February[[#This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21" t="str">
        <f>IFERROR(VLOOKUP(February[[#This Row],[Drug Name7]],'Data Options'!$R$1:$S$100,2,FALSE), " ")</f>
        <v xml:space="preserve"> </v>
      </c>
      <c r="AZ46" s="32"/>
      <c r="BA46" s="32"/>
      <c r="BB46" s="53"/>
      <c r="BC46" s="21" t="str">
        <f>IFERROR(VLOOKUP(February[[#This Row],[Drug Name8]],'Data Options'!$R$1:$S$100,2,FALSE), " ")</f>
        <v xml:space="preserve"> </v>
      </c>
      <c r="BD46" s="32"/>
      <c r="BE46" s="32"/>
      <c r="BF46" s="53"/>
      <c r="BG46" s="21" t="str">
        <f>IFERROR(VLOOKUP(February[[#This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21" t="str">
        <f>IFERROR(VLOOKUP(February[[#This Row],[Drug Name]],'Data Options'!$R$1:$S$100,2,FALSE), " ")</f>
        <v xml:space="preserve"> </v>
      </c>
      <c r="R47" s="32"/>
      <c r="S47" s="32"/>
      <c r="T47" s="53"/>
      <c r="U47" s="21" t="str">
        <f>IFERROR(VLOOKUP(February[[#This Row],[Drug Name2]],'Data Options'!$R$1:$S$100,2,FALSE), " ")</f>
        <v xml:space="preserve"> </v>
      </c>
      <c r="V47" s="32"/>
      <c r="W47" s="32"/>
      <c r="X47" s="53"/>
      <c r="Y47" s="21" t="str">
        <f>IFERROR(VLOOKUP(February[[#This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21" t="str">
        <f>IFERROR(VLOOKUP(February[[#This Row],[Drug Name4]],'Data Options'!$R$1:$S$100,2,FALSE), " ")</f>
        <v xml:space="preserve"> </v>
      </c>
      <c r="AI47" s="32"/>
      <c r="AJ47" s="32"/>
      <c r="AK47" s="53"/>
      <c r="AL47" s="21" t="str">
        <f>IFERROR(VLOOKUP(February[[#This Row],[Drug Name5]],'Data Options'!$R$1:$S$100,2,FALSE), " ")</f>
        <v xml:space="preserve"> </v>
      </c>
      <c r="AM47" s="32"/>
      <c r="AN47" s="32"/>
      <c r="AO47" s="53"/>
      <c r="AP47" s="21" t="str">
        <f>IFERROR(VLOOKUP(February[[#This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21" t="str">
        <f>IFERROR(VLOOKUP(February[[#This Row],[Drug Name7]],'Data Options'!$R$1:$S$100,2,FALSE), " ")</f>
        <v xml:space="preserve"> </v>
      </c>
      <c r="AZ47" s="32"/>
      <c r="BA47" s="32"/>
      <c r="BB47" s="53"/>
      <c r="BC47" s="21" t="str">
        <f>IFERROR(VLOOKUP(February[[#This Row],[Drug Name8]],'Data Options'!$R$1:$S$100,2,FALSE), " ")</f>
        <v xml:space="preserve"> </v>
      </c>
      <c r="BD47" s="32"/>
      <c r="BE47" s="32"/>
      <c r="BF47" s="53"/>
      <c r="BG47" s="21" t="str">
        <f>IFERROR(VLOOKUP(February[[#This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21" t="str">
        <f>IFERROR(VLOOKUP(February[[#This Row],[Drug Name]],'Data Options'!$R$1:$S$100,2,FALSE), " ")</f>
        <v xml:space="preserve"> </v>
      </c>
      <c r="R48" s="32"/>
      <c r="S48" s="32"/>
      <c r="T48" s="53"/>
      <c r="U48" s="21" t="str">
        <f>IFERROR(VLOOKUP(February[[#This Row],[Drug Name2]],'Data Options'!$R$1:$S$100,2,FALSE), " ")</f>
        <v xml:space="preserve"> </v>
      </c>
      <c r="V48" s="32"/>
      <c r="W48" s="32"/>
      <c r="X48" s="53"/>
      <c r="Y48" s="21" t="str">
        <f>IFERROR(VLOOKUP(February[[#This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21" t="str">
        <f>IFERROR(VLOOKUP(February[[#This Row],[Drug Name4]],'Data Options'!$R$1:$S$100,2,FALSE), " ")</f>
        <v xml:space="preserve"> </v>
      </c>
      <c r="AI48" s="32"/>
      <c r="AJ48" s="32"/>
      <c r="AK48" s="53"/>
      <c r="AL48" s="21" t="str">
        <f>IFERROR(VLOOKUP(February[[#This Row],[Drug Name5]],'Data Options'!$R$1:$S$100,2,FALSE), " ")</f>
        <v xml:space="preserve"> </v>
      </c>
      <c r="AM48" s="32"/>
      <c r="AN48" s="32"/>
      <c r="AO48" s="53"/>
      <c r="AP48" s="21" t="str">
        <f>IFERROR(VLOOKUP(February[[#This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21" t="str">
        <f>IFERROR(VLOOKUP(February[[#This Row],[Drug Name7]],'Data Options'!$R$1:$S$100,2,FALSE), " ")</f>
        <v xml:space="preserve"> </v>
      </c>
      <c r="AZ48" s="32"/>
      <c r="BA48" s="32"/>
      <c r="BB48" s="53"/>
      <c r="BC48" s="21" t="str">
        <f>IFERROR(VLOOKUP(February[[#This Row],[Drug Name8]],'Data Options'!$R$1:$S$100,2,FALSE), " ")</f>
        <v xml:space="preserve"> </v>
      </c>
      <c r="BD48" s="32"/>
      <c r="BE48" s="32"/>
      <c r="BF48" s="53"/>
      <c r="BG48" s="21" t="str">
        <f>IFERROR(VLOOKUP(February[[#This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21" t="str">
        <f>IFERROR(VLOOKUP(February[[#This Row],[Drug Name]],'Data Options'!$R$1:$S$100,2,FALSE), " ")</f>
        <v xml:space="preserve"> </v>
      </c>
      <c r="R49" s="32"/>
      <c r="S49" s="32"/>
      <c r="T49" s="53"/>
      <c r="U49" s="21" t="str">
        <f>IFERROR(VLOOKUP(February[[#This Row],[Drug Name2]],'Data Options'!$R$1:$S$100,2,FALSE), " ")</f>
        <v xml:space="preserve"> </v>
      </c>
      <c r="V49" s="32"/>
      <c r="W49" s="32"/>
      <c r="X49" s="53"/>
      <c r="Y49" s="21" t="str">
        <f>IFERROR(VLOOKUP(February[[#This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21" t="str">
        <f>IFERROR(VLOOKUP(February[[#This Row],[Drug Name4]],'Data Options'!$R$1:$S$100,2,FALSE), " ")</f>
        <v xml:space="preserve"> </v>
      </c>
      <c r="AI49" s="32"/>
      <c r="AJ49" s="32"/>
      <c r="AK49" s="53"/>
      <c r="AL49" s="21" t="str">
        <f>IFERROR(VLOOKUP(February[[#This Row],[Drug Name5]],'Data Options'!$R$1:$S$100,2,FALSE), " ")</f>
        <v xml:space="preserve"> </v>
      </c>
      <c r="AM49" s="32"/>
      <c r="AN49" s="32"/>
      <c r="AO49" s="53"/>
      <c r="AP49" s="21" t="str">
        <f>IFERROR(VLOOKUP(February[[#This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21" t="str">
        <f>IFERROR(VLOOKUP(February[[#This Row],[Drug Name7]],'Data Options'!$R$1:$S$100,2,FALSE), " ")</f>
        <v xml:space="preserve"> </v>
      </c>
      <c r="AZ49" s="32"/>
      <c r="BA49" s="32"/>
      <c r="BB49" s="53"/>
      <c r="BC49" s="21" t="str">
        <f>IFERROR(VLOOKUP(February[[#This Row],[Drug Name8]],'Data Options'!$R$1:$S$100,2,FALSE), " ")</f>
        <v xml:space="preserve"> </v>
      </c>
      <c r="BD49" s="32"/>
      <c r="BE49" s="32"/>
      <c r="BF49" s="53"/>
      <c r="BG49" s="21" t="str">
        <f>IFERROR(VLOOKUP(February[[#This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21" t="str">
        <f>IFERROR(VLOOKUP(February[[#This Row],[Drug Name]],'Data Options'!$R$1:$S$100,2,FALSE), " ")</f>
        <v xml:space="preserve"> </v>
      </c>
      <c r="R50" s="32"/>
      <c r="S50" s="32"/>
      <c r="T50" s="53"/>
      <c r="U50" s="21" t="str">
        <f>IFERROR(VLOOKUP(February[[#This Row],[Drug Name2]],'Data Options'!$R$1:$S$100,2,FALSE), " ")</f>
        <v xml:space="preserve"> </v>
      </c>
      <c r="V50" s="32"/>
      <c r="W50" s="32"/>
      <c r="X50" s="53"/>
      <c r="Y50" s="21" t="str">
        <f>IFERROR(VLOOKUP(February[[#This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21" t="str">
        <f>IFERROR(VLOOKUP(February[[#This Row],[Drug Name4]],'Data Options'!$R$1:$S$100,2,FALSE), " ")</f>
        <v xml:space="preserve"> </v>
      </c>
      <c r="AI50" s="32"/>
      <c r="AJ50" s="32"/>
      <c r="AK50" s="53"/>
      <c r="AL50" s="21" t="str">
        <f>IFERROR(VLOOKUP(February[[#This Row],[Drug Name5]],'Data Options'!$R$1:$S$100,2,FALSE), " ")</f>
        <v xml:space="preserve"> </v>
      </c>
      <c r="AM50" s="32"/>
      <c r="AN50" s="32"/>
      <c r="AO50" s="53"/>
      <c r="AP50" s="21" t="str">
        <f>IFERROR(VLOOKUP(February[[#This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21" t="str">
        <f>IFERROR(VLOOKUP(February[[#This Row],[Drug Name7]],'Data Options'!$R$1:$S$100,2,FALSE), " ")</f>
        <v xml:space="preserve"> </v>
      </c>
      <c r="AZ50" s="32"/>
      <c r="BA50" s="32"/>
      <c r="BB50" s="53"/>
      <c r="BC50" s="21" t="str">
        <f>IFERROR(VLOOKUP(February[[#This Row],[Drug Name8]],'Data Options'!$R$1:$S$100,2,FALSE), " ")</f>
        <v xml:space="preserve"> </v>
      </c>
      <c r="BD50" s="32"/>
      <c r="BE50" s="32"/>
      <c r="BF50" s="53"/>
      <c r="BG50" s="21" t="str">
        <f>IFERROR(VLOOKUP(February[[#This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21" t="str">
        <f>IFERROR(VLOOKUP(February[[#This Row],[Drug Name]],'Data Options'!$R$1:$S$100,2,FALSE), " ")</f>
        <v xml:space="preserve"> </v>
      </c>
      <c r="R51" s="32"/>
      <c r="S51" s="32"/>
      <c r="T51" s="53"/>
      <c r="U51" s="21" t="str">
        <f>IFERROR(VLOOKUP(February[[#This Row],[Drug Name2]],'Data Options'!$R$1:$S$100,2,FALSE), " ")</f>
        <v xml:space="preserve"> </v>
      </c>
      <c r="V51" s="32"/>
      <c r="W51" s="32"/>
      <c r="X51" s="53"/>
      <c r="Y51" s="21" t="str">
        <f>IFERROR(VLOOKUP(February[[#This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21" t="str">
        <f>IFERROR(VLOOKUP(February[[#This Row],[Drug Name4]],'Data Options'!$R$1:$S$100,2,FALSE), " ")</f>
        <v xml:space="preserve"> </v>
      </c>
      <c r="AI51" s="32"/>
      <c r="AJ51" s="32"/>
      <c r="AK51" s="53"/>
      <c r="AL51" s="21" t="str">
        <f>IFERROR(VLOOKUP(February[[#This Row],[Drug Name5]],'Data Options'!$R$1:$S$100,2,FALSE), " ")</f>
        <v xml:space="preserve"> </v>
      </c>
      <c r="AM51" s="32"/>
      <c r="AN51" s="32"/>
      <c r="AO51" s="53"/>
      <c r="AP51" s="21" t="str">
        <f>IFERROR(VLOOKUP(February[[#This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21" t="str">
        <f>IFERROR(VLOOKUP(February[[#This Row],[Drug Name7]],'Data Options'!$R$1:$S$100,2,FALSE), " ")</f>
        <v xml:space="preserve"> </v>
      </c>
      <c r="AZ51" s="32"/>
      <c r="BA51" s="32"/>
      <c r="BB51" s="53"/>
      <c r="BC51" s="21" t="str">
        <f>IFERROR(VLOOKUP(February[[#This Row],[Drug Name8]],'Data Options'!$R$1:$S$100,2,FALSE), " ")</f>
        <v xml:space="preserve"> </v>
      </c>
      <c r="BD51" s="32"/>
      <c r="BE51" s="32"/>
      <c r="BF51" s="53"/>
      <c r="BG51" s="21" t="str">
        <f>IFERROR(VLOOKUP(February[[#This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21" t="str">
        <f>IFERROR(VLOOKUP(February[[#This Row],[Drug Name]],'Data Options'!$R$1:$S$100,2,FALSE), " ")</f>
        <v xml:space="preserve"> </v>
      </c>
      <c r="R52" s="32"/>
      <c r="S52" s="32"/>
      <c r="T52" s="53"/>
      <c r="U52" s="21" t="str">
        <f>IFERROR(VLOOKUP(February[[#This Row],[Drug Name2]],'Data Options'!$R$1:$S$100,2,FALSE), " ")</f>
        <v xml:space="preserve"> </v>
      </c>
      <c r="V52" s="32"/>
      <c r="W52" s="32"/>
      <c r="X52" s="53"/>
      <c r="Y52" s="21" t="str">
        <f>IFERROR(VLOOKUP(February[[#This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21" t="str">
        <f>IFERROR(VLOOKUP(February[[#This Row],[Drug Name4]],'Data Options'!$R$1:$S$100,2,FALSE), " ")</f>
        <v xml:space="preserve"> </v>
      </c>
      <c r="AI52" s="32"/>
      <c r="AJ52" s="32"/>
      <c r="AK52" s="53"/>
      <c r="AL52" s="21" t="str">
        <f>IFERROR(VLOOKUP(February[[#This Row],[Drug Name5]],'Data Options'!$R$1:$S$100,2,FALSE), " ")</f>
        <v xml:space="preserve"> </v>
      </c>
      <c r="AM52" s="32"/>
      <c r="AN52" s="32"/>
      <c r="AO52" s="53"/>
      <c r="AP52" s="21" t="str">
        <f>IFERROR(VLOOKUP(February[[#This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21" t="str">
        <f>IFERROR(VLOOKUP(February[[#This Row],[Drug Name7]],'Data Options'!$R$1:$S$100,2,FALSE), " ")</f>
        <v xml:space="preserve"> </v>
      </c>
      <c r="AZ52" s="32"/>
      <c r="BA52" s="32"/>
      <c r="BB52" s="53"/>
      <c r="BC52" s="21" t="str">
        <f>IFERROR(VLOOKUP(February[[#This Row],[Drug Name8]],'Data Options'!$R$1:$S$100,2,FALSE), " ")</f>
        <v xml:space="preserve"> </v>
      </c>
      <c r="BD52" s="32"/>
      <c r="BE52" s="32"/>
      <c r="BF52" s="53"/>
      <c r="BG52" s="21" t="str">
        <f>IFERROR(VLOOKUP(February[[#This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21" t="str">
        <f>IFERROR(VLOOKUP(February[[#This Row],[Drug Name]],'Data Options'!$R$1:$S$100,2,FALSE), " ")</f>
        <v xml:space="preserve"> </v>
      </c>
      <c r="R53" s="32"/>
      <c r="S53" s="32"/>
      <c r="T53" s="53"/>
      <c r="U53" s="21" t="str">
        <f>IFERROR(VLOOKUP(February[[#This Row],[Drug Name2]],'Data Options'!$R$1:$S$100,2,FALSE), " ")</f>
        <v xml:space="preserve"> </v>
      </c>
      <c r="V53" s="32"/>
      <c r="W53" s="32"/>
      <c r="X53" s="53"/>
      <c r="Y53" s="21" t="str">
        <f>IFERROR(VLOOKUP(February[[#This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21" t="str">
        <f>IFERROR(VLOOKUP(February[[#This Row],[Drug Name4]],'Data Options'!$R$1:$S$100,2,FALSE), " ")</f>
        <v xml:space="preserve"> </v>
      </c>
      <c r="AI53" s="32"/>
      <c r="AJ53" s="32"/>
      <c r="AK53" s="53"/>
      <c r="AL53" s="21" t="str">
        <f>IFERROR(VLOOKUP(February[[#This Row],[Drug Name5]],'Data Options'!$R$1:$S$100,2,FALSE), " ")</f>
        <v xml:space="preserve"> </v>
      </c>
      <c r="AM53" s="32"/>
      <c r="AN53" s="32"/>
      <c r="AO53" s="53"/>
      <c r="AP53" s="21" t="str">
        <f>IFERROR(VLOOKUP(February[[#This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21" t="str">
        <f>IFERROR(VLOOKUP(February[[#This Row],[Drug Name7]],'Data Options'!$R$1:$S$100,2,FALSE), " ")</f>
        <v xml:space="preserve"> </v>
      </c>
      <c r="AZ53" s="32"/>
      <c r="BA53" s="32"/>
      <c r="BB53" s="53"/>
      <c r="BC53" s="21" t="str">
        <f>IFERROR(VLOOKUP(February[[#This Row],[Drug Name8]],'Data Options'!$R$1:$S$100,2,FALSE), " ")</f>
        <v xml:space="preserve"> </v>
      </c>
      <c r="BD53" s="32"/>
      <c r="BE53" s="32"/>
      <c r="BF53" s="53"/>
      <c r="BG53" s="21" t="str">
        <f>IFERROR(VLOOKUP(February[[#This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21" t="str">
        <f>IFERROR(VLOOKUP(February[[#This Row],[Drug Name]],'Data Options'!$R$1:$S$100,2,FALSE), " ")</f>
        <v xml:space="preserve"> </v>
      </c>
      <c r="R54" s="32"/>
      <c r="S54" s="32"/>
      <c r="T54" s="53"/>
      <c r="U54" s="21" t="str">
        <f>IFERROR(VLOOKUP(February[[#This Row],[Drug Name2]],'Data Options'!$R$1:$S$100,2,FALSE), " ")</f>
        <v xml:space="preserve"> </v>
      </c>
      <c r="V54" s="32"/>
      <c r="W54" s="32"/>
      <c r="X54" s="53"/>
      <c r="Y54" s="21" t="str">
        <f>IFERROR(VLOOKUP(February[[#This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21" t="str">
        <f>IFERROR(VLOOKUP(February[[#This Row],[Drug Name4]],'Data Options'!$R$1:$S$100,2,FALSE), " ")</f>
        <v xml:space="preserve"> </v>
      </c>
      <c r="AI54" s="32"/>
      <c r="AJ54" s="32"/>
      <c r="AK54" s="53"/>
      <c r="AL54" s="21" t="str">
        <f>IFERROR(VLOOKUP(February[[#This Row],[Drug Name5]],'Data Options'!$R$1:$S$100,2,FALSE), " ")</f>
        <v xml:space="preserve"> </v>
      </c>
      <c r="AM54" s="32"/>
      <c r="AN54" s="32"/>
      <c r="AO54" s="53"/>
      <c r="AP54" s="21" t="str">
        <f>IFERROR(VLOOKUP(February[[#This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21" t="str">
        <f>IFERROR(VLOOKUP(February[[#This Row],[Drug Name7]],'Data Options'!$R$1:$S$100,2,FALSE), " ")</f>
        <v xml:space="preserve"> </v>
      </c>
      <c r="AZ54" s="32"/>
      <c r="BA54" s="32"/>
      <c r="BB54" s="53"/>
      <c r="BC54" s="21" t="str">
        <f>IFERROR(VLOOKUP(February[[#This Row],[Drug Name8]],'Data Options'!$R$1:$S$100,2,FALSE), " ")</f>
        <v xml:space="preserve"> </v>
      </c>
      <c r="BD54" s="32"/>
      <c r="BE54" s="32"/>
      <c r="BF54" s="53"/>
      <c r="BG54" s="21" t="str">
        <f>IFERROR(VLOOKUP(February[[#This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21" t="str">
        <f>IFERROR(VLOOKUP(February[[#This Row],[Drug Name]],'Data Options'!$R$1:$S$100,2,FALSE), " ")</f>
        <v xml:space="preserve"> </v>
      </c>
      <c r="R55" s="32"/>
      <c r="S55" s="32"/>
      <c r="T55" s="53"/>
      <c r="U55" s="21" t="str">
        <f>IFERROR(VLOOKUP(February[[#This Row],[Drug Name2]],'Data Options'!$R$1:$S$100,2,FALSE), " ")</f>
        <v xml:space="preserve"> </v>
      </c>
      <c r="V55" s="32"/>
      <c r="W55" s="32"/>
      <c r="X55" s="53"/>
      <c r="Y55" s="21" t="str">
        <f>IFERROR(VLOOKUP(February[[#This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21" t="str">
        <f>IFERROR(VLOOKUP(February[[#This Row],[Drug Name4]],'Data Options'!$R$1:$S$100,2,FALSE), " ")</f>
        <v xml:space="preserve"> </v>
      </c>
      <c r="AI55" s="32"/>
      <c r="AJ55" s="32"/>
      <c r="AK55" s="53"/>
      <c r="AL55" s="21" t="str">
        <f>IFERROR(VLOOKUP(February[[#This Row],[Drug Name5]],'Data Options'!$R$1:$S$100,2,FALSE), " ")</f>
        <v xml:space="preserve"> </v>
      </c>
      <c r="AM55" s="32"/>
      <c r="AN55" s="32"/>
      <c r="AO55" s="53"/>
      <c r="AP55" s="21" t="str">
        <f>IFERROR(VLOOKUP(February[[#This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21" t="str">
        <f>IFERROR(VLOOKUP(February[[#This Row],[Drug Name7]],'Data Options'!$R$1:$S$100,2,FALSE), " ")</f>
        <v xml:space="preserve"> </v>
      </c>
      <c r="AZ55" s="32"/>
      <c r="BA55" s="32"/>
      <c r="BB55" s="53"/>
      <c r="BC55" s="21" t="str">
        <f>IFERROR(VLOOKUP(February[[#This Row],[Drug Name8]],'Data Options'!$R$1:$S$100,2,FALSE), " ")</f>
        <v xml:space="preserve"> </v>
      </c>
      <c r="BD55" s="32"/>
      <c r="BE55" s="32"/>
      <c r="BF55" s="53"/>
      <c r="BG55" s="21" t="str">
        <f>IFERROR(VLOOKUP(February[[#This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21" t="str">
        <f>IFERROR(VLOOKUP(February[[#This Row],[Drug Name]],'Data Options'!$R$1:$S$100,2,FALSE), " ")</f>
        <v xml:space="preserve"> </v>
      </c>
      <c r="R56" s="32"/>
      <c r="S56" s="32"/>
      <c r="T56" s="53"/>
      <c r="U56" s="21" t="str">
        <f>IFERROR(VLOOKUP(February[[#This Row],[Drug Name2]],'Data Options'!$R$1:$S$100,2,FALSE), " ")</f>
        <v xml:space="preserve"> </v>
      </c>
      <c r="V56" s="32"/>
      <c r="W56" s="32"/>
      <c r="X56" s="53"/>
      <c r="Y56" s="21" t="str">
        <f>IFERROR(VLOOKUP(February[[#This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21" t="str">
        <f>IFERROR(VLOOKUP(February[[#This Row],[Drug Name4]],'Data Options'!$R$1:$S$100,2,FALSE), " ")</f>
        <v xml:space="preserve"> </v>
      </c>
      <c r="AI56" s="32"/>
      <c r="AJ56" s="32"/>
      <c r="AK56" s="53"/>
      <c r="AL56" s="21" t="str">
        <f>IFERROR(VLOOKUP(February[[#This Row],[Drug Name5]],'Data Options'!$R$1:$S$100,2,FALSE), " ")</f>
        <v xml:space="preserve"> </v>
      </c>
      <c r="AM56" s="32"/>
      <c r="AN56" s="32"/>
      <c r="AO56" s="53"/>
      <c r="AP56" s="21" t="str">
        <f>IFERROR(VLOOKUP(February[[#This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21" t="str">
        <f>IFERROR(VLOOKUP(February[[#This Row],[Drug Name7]],'Data Options'!$R$1:$S$100,2,FALSE), " ")</f>
        <v xml:space="preserve"> </v>
      </c>
      <c r="AZ56" s="32"/>
      <c r="BA56" s="32"/>
      <c r="BB56" s="53"/>
      <c r="BC56" s="21" t="str">
        <f>IFERROR(VLOOKUP(February[[#This Row],[Drug Name8]],'Data Options'!$R$1:$S$100,2,FALSE), " ")</f>
        <v xml:space="preserve"> </v>
      </c>
      <c r="BD56" s="32"/>
      <c r="BE56" s="32"/>
      <c r="BF56" s="53"/>
      <c r="BG56" s="21" t="str">
        <f>IFERROR(VLOOKUP(February[[#This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21" t="str">
        <f>IFERROR(VLOOKUP(February[[#This Row],[Drug Name]],'Data Options'!$R$1:$S$100,2,FALSE), " ")</f>
        <v xml:space="preserve"> </v>
      </c>
      <c r="R57" s="32"/>
      <c r="S57" s="32"/>
      <c r="T57" s="53"/>
      <c r="U57" s="21" t="str">
        <f>IFERROR(VLOOKUP(February[[#This Row],[Drug Name2]],'Data Options'!$R$1:$S$100,2,FALSE), " ")</f>
        <v xml:space="preserve"> </v>
      </c>
      <c r="V57" s="32"/>
      <c r="W57" s="32"/>
      <c r="X57" s="53"/>
      <c r="Y57" s="21" t="str">
        <f>IFERROR(VLOOKUP(February[[#This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21" t="str">
        <f>IFERROR(VLOOKUP(February[[#This Row],[Drug Name4]],'Data Options'!$R$1:$S$100,2,FALSE), " ")</f>
        <v xml:space="preserve"> </v>
      </c>
      <c r="AI57" s="32"/>
      <c r="AJ57" s="32"/>
      <c r="AK57" s="53"/>
      <c r="AL57" s="21" t="str">
        <f>IFERROR(VLOOKUP(February[[#This Row],[Drug Name5]],'Data Options'!$R$1:$S$100,2,FALSE), " ")</f>
        <v xml:space="preserve"> </v>
      </c>
      <c r="AM57" s="32"/>
      <c r="AN57" s="32"/>
      <c r="AO57" s="53"/>
      <c r="AP57" s="21" t="str">
        <f>IFERROR(VLOOKUP(February[[#This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21" t="str">
        <f>IFERROR(VLOOKUP(February[[#This Row],[Drug Name7]],'Data Options'!$R$1:$S$100,2,FALSE), " ")</f>
        <v xml:space="preserve"> </v>
      </c>
      <c r="AZ57" s="32"/>
      <c r="BA57" s="32"/>
      <c r="BB57" s="53"/>
      <c r="BC57" s="21" t="str">
        <f>IFERROR(VLOOKUP(February[[#This Row],[Drug Name8]],'Data Options'!$R$1:$S$100,2,FALSE), " ")</f>
        <v xml:space="preserve"> </v>
      </c>
      <c r="BD57" s="32"/>
      <c r="BE57" s="32"/>
      <c r="BF57" s="53"/>
      <c r="BG57" s="21" t="str">
        <f>IFERROR(VLOOKUP(February[[#This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21" t="str">
        <f>IFERROR(VLOOKUP(February[[#This Row],[Drug Name]],'Data Options'!$R$1:$S$100,2,FALSE), " ")</f>
        <v xml:space="preserve"> </v>
      </c>
      <c r="R58" s="32"/>
      <c r="S58" s="32"/>
      <c r="T58" s="53"/>
      <c r="U58" s="21" t="str">
        <f>IFERROR(VLOOKUP(February[[#This Row],[Drug Name2]],'Data Options'!$R$1:$S$100,2,FALSE), " ")</f>
        <v xml:space="preserve"> </v>
      </c>
      <c r="V58" s="32"/>
      <c r="W58" s="32"/>
      <c r="X58" s="53"/>
      <c r="Y58" s="21" t="str">
        <f>IFERROR(VLOOKUP(February[[#This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21" t="str">
        <f>IFERROR(VLOOKUP(February[[#This Row],[Drug Name4]],'Data Options'!$R$1:$S$100,2,FALSE), " ")</f>
        <v xml:space="preserve"> </v>
      </c>
      <c r="AI58" s="32"/>
      <c r="AJ58" s="32"/>
      <c r="AK58" s="53"/>
      <c r="AL58" s="21" t="str">
        <f>IFERROR(VLOOKUP(February[[#This Row],[Drug Name5]],'Data Options'!$R$1:$S$100,2,FALSE), " ")</f>
        <v xml:space="preserve"> </v>
      </c>
      <c r="AM58" s="32"/>
      <c r="AN58" s="32"/>
      <c r="AO58" s="53"/>
      <c r="AP58" s="21" t="str">
        <f>IFERROR(VLOOKUP(February[[#This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21" t="str">
        <f>IFERROR(VLOOKUP(February[[#This Row],[Drug Name7]],'Data Options'!$R$1:$S$100,2,FALSE), " ")</f>
        <v xml:space="preserve"> </v>
      </c>
      <c r="AZ58" s="32"/>
      <c r="BA58" s="32"/>
      <c r="BB58" s="53"/>
      <c r="BC58" s="21" t="str">
        <f>IFERROR(VLOOKUP(February[[#This Row],[Drug Name8]],'Data Options'!$R$1:$S$100,2,FALSE), " ")</f>
        <v xml:space="preserve"> </v>
      </c>
      <c r="BD58" s="32"/>
      <c r="BE58" s="32"/>
      <c r="BF58" s="53"/>
      <c r="BG58" s="21" t="str">
        <f>IFERROR(VLOOKUP(February[[#This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21" t="str">
        <f>IFERROR(VLOOKUP(February[[#This Row],[Drug Name]],'Data Options'!$R$1:$S$100,2,FALSE), " ")</f>
        <v xml:space="preserve"> </v>
      </c>
      <c r="R59" s="32"/>
      <c r="S59" s="32"/>
      <c r="T59" s="53"/>
      <c r="U59" s="21" t="str">
        <f>IFERROR(VLOOKUP(February[[#This Row],[Drug Name2]],'Data Options'!$R$1:$S$100,2,FALSE), " ")</f>
        <v xml:space="preserve"> </v>
      </c>
      <c r="V59" s="32"/>
      <c r="W59" s="32"/>
      <c r="X59" s="53"/>
      <c r="Y59" s="21" t="str">
        <f>IFERROR(VLOOKUP(February[[#This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21" t="str">
        <f>IFERROR(VLOOKUP(February[[#This Row],[Drug Name4]],'Data Options'!$R$1:$S$100,2,FALSE), " ")</f>
        <v xml:space="preserve"> </v>
      </c>
      <c r="AI59" s="32"/>
      <c r="AJ59" s="32"/>
      <c r="AK59" s="53"/>
      <c r="AL59" s="21" t="str">
        <f>IFERROR(VLOOKUP(February[[#This Row],[Drug Name5]],'Data Options'!$R$1:$S$100,2,FALSE), " ")</f>
        <v xml:space="preserve"> </v>
      </c>
      <c r="AM59" s="32"/>
      <c r="AN59" s="32"/>
      <c r="AO59" s="53"/>
      <c r="AP59" s="21" t="str">
        <f>IFERROR(VLOOKUP(February[[#This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21" t="str">
        <f>IFERROR(VLOOKUP(February[[#This Row],[Drug Name7]],'Data Options'!$R$1:$S$100,2,FALSE), " ")</f>
        <v xml:space="preserve"> </v>
      </c>
      <c r="AZ59" s="32"/>
      <c r="BA59" s="32"/>
      <c r="BB59" s="53"/>
      <c r="BC59" s="21" t="str">
        <f>IFERROR(VLOOKUP(February[[#This Row],[Drug Name8]],'Data Options'!$R$1:$S$100,2,FALSE), " ")</f>
        <v xml:space="preserve"> </v>
      </c>
      <c r="BD59" s="32"/>
      <c r="BE59" s="32"/>
      <c r="BF59" s="53"/>
      <c r="BG59" s="21" t="str">
        <f>IFERROR(VLOOKUP(February[[#This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21" t="str">
        <f>IFERROR(VLOOKUP(February[[#This Row],[Drug Name]],'Data Options'!$R$1:$S$100,2,FALSE), " ")</f>
        <v xml:space="preserve"> </v>
      </c>
      <c r="R60" s="32"/>
      <c r="S60" s="32"/>
      <c r="T60" s="53"/>
      <c r="U60" s="21" t="str">
        <f>IFERROR(VLOOKUP(February[[#This Row],[Drug Name2]],'Data Options'!$R$1:$S$100,2,FALSE), " ")</f>
        <v xml:space="preserve"> </v>
      </c>
      <c r="V60" s="32"/>
      <c r="W60" s="32"/>
      <c r="X60" s="53"/>
      <c r="Y60" s="21" t="str">
        <f>IFERROR(VLOOKUP(February[[#This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21" t="str">
        <f>IFERROR(VLOOKUP(February[[#This Row],[Drug Name4]],'Data Options'!$R$1:$S$100,2,FALSE), " ")</f>
        <v xml:space="preserve"> </v>
      </c>
      <c r="AI60" s="32"/>
      <c r="AJ60" s="32"/>
      <c r="AK60" s="53"/>
      <c r="AL60" s="21" t="str">
        <f>IFERROR(VLOOKUP(February[[#This Row],[Drug Name5]],'Data Options'!$R$1:$S$100,2,FALSE), " ")</f>
        <v xml:space="preserve"> </v>
      </c>
      <c r="AM60" s="32"/>
      <c r="AN60" s="32"/>
      <c r="AO60" s="53"/>
      <c r="AP60" s="21" t="str">
        <f>IFERROR(VLOOKUP(February[[#This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21" t="str">
        <f>IFERROR(VLOOKUP(February[[#This Row],[Drug Name7]],'Data Options'!$R$1:$S$100,2,FALSE), " ")</f>
        <v xml:space="preserve"> </v>
      </c>
      <c r="AZ60" s="32"/>
      <c r="BA60" s="32"/>
      <c r="BB60" s="53"/>
      <c r="BC60" s="21" t="str">
        <f>IFERROR(VLOOKUP(February[[#This Row],[Drug Name8]],'Data Options'!$R$1:$S$100,2,FALSE), " ")</f>
        <v xml:space="preserve"> </v>
      </c>
      <c r="BD60" s="32"/>
      <c r="BE60" s="32"/>
      <c r="BF60" s="53"/>
      <c r="BG60" s="21" t="str">
        <f>IFERROR(VLOOKUP(February[[#This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21" t="str">
        <f>IFERROR(VLOOKUP(February[[#This Row],[Drug Name]],'Data Options'!$R$1:$S$100,2,FALSE), " ")</f>
        <v xml:space="preserve"> </v>
      </c>
      <c r="R61" s="32"/>
      <c r="S61" s="32"/>
      <c r="T61" s="53"/>
      <c r="U61" s="21" t="str">
        <f>IFERROR(VLOOKUP(February[[#This Row],[Drug Name2]],'Data Options'!$R$1:$S$100,2,FALSE), " ")</f>
        <v xml:space="preserve"> </v>
      </c>
      <c r="V61" s="32"/>
      <c r="W61" s="32"/>
      <c r="X61" s="53"/>
      <c r="Y61" s="21" t="str">
        <f>IFERROR(VLOOKUP(February[[#This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21" t="str">
        <f>IFERROR(VLOOKUP(February[[#This Row],[Drug Name4]],'Data Options'!$R$1:$S$100,2,FALSE), " ")</f>
        <v xml:space="preserve"> </v>
      </c>
      <c r="AI61" s="32"/>
      <c r="AJ61" s="32"/>
      <c r="AK61" s="53"/>
      <c r="AL61" s="21" t="str">
        <f>IFERROR(VLOOKUP(February[[#This Row],[Drug Name5]],'Data Options'!$R$1:$S$100,2,FALSE), " ")</f>
        <v xml:space="preserve"> </v>
      </c>
      <c r="AM61" s="32"/>
      <c r="AN61" s="32"/>
      <c r="AO61" s="53"/>
      <c r="AP61" s="21" t="str">
        <f>IFERROR(VLOOKUP(February[[#This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21" t="str">
        <f>IFERROR(VLOOKUP(February[[#This Row],[Drug Name7]],'Data Options'!$R$1:$S$100,2,FALSE), " ")</f>
        <v xml:space="preserve"> </v>
      </c>
      <c r="AZ61" s="32"/>
      <c r="BA61" s="32"/>
      <c r="BB61" s="53"/>
      <c r="BC61" s="21" t="str">
        <f>IFERROR(VLOOKUP(February[[#This Row],[Drug Name8]],'Data Options'!$R$1:$S$100,2,FALSE), " ")</f>
        <v xml:space="preserve"> </v>
      </c>
      <c r="BD61" s="32"/>
      <c r="BE61" s="32"/>
      <c r="BF61" s="53"/>
      <c r="BG61" s="21" t="str">
        <f>IFERROR(VLOOKUP(February[[#This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21" t="str">
        <f>IFERROR(VLOOKUP(February[[#This Row],[Drug Name]],'Data Options'!$R$1:$S$100,2,FALSE), " ")</f>
        <v xml:space="preserve"> </v>
      </c>
      <c r="R62" s="32"/>
      <c r="S62" s="32"/>
      <c r="T62" s="53"/>
      <c r="U62" s="21" t="str">
        <f>IFERROR(VLOOKUP(February[[#This Row],[Drug Name2]],'Data Options'!$R$1:$S$100,2,FALSE), " ")</f>
        <v xml:space="preserve"> </v>
      </c>
      <c r="V62" s="32"/>
      <c r="W62" s="32"/>
      <c r="X62" s="53"/>
      <c r="Y62" s="21" t="str">
        <f>IFERROR(VLOOKUP(February[[#This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21" t="str">
        <f>IFERROR(VLOOKUP(February[[#This Row],[Drug Name4]],'Data Options'!$R$1:$S$100,2,FALSE), " ")</f>
        <v xml:space="preserve"> </v>
      </c>
      <c r="AI62" s="32"/>
      <c r="AJ62" s="32"/>
      <c r="AK62" s="53"/>
      <c r="AL62" s="21" t="str">
        <f>IFERROR(VLOOKUP(February[[#This Row],[Drug Name5]],'Data Options'!$R$1:$S$100,2,FALSE), " ")</f>
        <v xml:space="preserve"> </v>
      </c>
      <c r="AM62" s="32"/>
      <c r="AN62" s="32"/>
      <c r="AO62" s="53"/>
      <c r="AP62" s="21" t="str">
        <f>IFERROR(VLOOKUP(February[[#This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21" t="str">
        <f>IFERROR(VLOOKUP(February[[#This Row],[Drug Name7]],'Data Options'!$R$1:$S$100,2,FALSE), " ")</f>
        <v xml:space="preserve"> </v>
      </c>
      <c r="AZ62" s="32"/>
      <c r="BA62" s="32"/>
      <c r="BB62" s="53"/>
      <c r="BC62" s="21" t="str">
        <f>IFERROR(VLOOKUP(February[[#This Row],[Drug Name8]],'Data Options'!$R$1:$S$100,2,FALSE), " ")</f>
        <v xml:space="preserve"> </v>
      </c>
      <c r="BD62" s="32"/>
      <c r="BE62" s="32"/>
      <c r="BF62" s="53"/>
      <c r="BG62" s="21" t="str">
        <f>IFERROR(VLOOKUP(February[[#This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21" t="str">
        <f>IFERROR(VLOOKUP(February[[#This Row],[Drug Name]],'Data Options'!$R$1:$S$100,2,FALSE), " ")</f>
        <v xml:space="preserve"> </v>
      </c>
      <c r="R63" s="32"/>
      <c r="S63" s="32"/>
      <c r="T63" s="53"/>
      <c r="U63" s="21" t="str">
        <f>IFERROR(VLOOKUP(February[[#This Row],[Drug Name2]],'Data Options'!$R$1:$S$100,2,FALSE), " ")</f>
        <v xml:space="preserve"> </v>
      </c>
      <c r="V63" s="32"/>
      <c r="W63" s="32"/>
      <c r="X63" s="53"/>
      <c r="Y63" s="21" t="str">
        <f>IFERROR(VLOOKUP(February[[#This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21" t="str">
        <f>IFERROR(VLOOKUP(February[[#This Row],[Drug Name4]],'Data Options'!$R$1:$S$100,2,FALSE), " ")</f>
        <v xml:space="preserve"> </v>
      </c>
      <c r="AI63" s="32"/>
      <c r="AJ63" s="32"/>
      <c r="AK63" s="53"/>
      <c r="AL63" s="21" t="str">
        <f>IFERROR(VLOOKUP(February[[#This Row],[Drug Name5]],'Data Options'!$R$1:$S$100,2,FALSE), " ")</f>
        <v xml:space="preserve"> </v>
      </c>
      <c r="AM63" s="32"/>
      <c r="AN63" s="32"/>
      <c r="AO63" s="53"/>
      <c r="AP63" s="21" t="str">
        <f>IFERROR(VLOOKUP(February[[#This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21" t="str">
        <f>IFERROR(VLOOKUP(February[[#This Row],[Drug Name7]],'Data Options'!$R$1:$S$100,2,FALSE), " ")</f>
        <v xml:space="preserve"> </v>
      </c>
      <c r="AZ63" s="32"/>
      <c r="BA63" s="32"/>
      <c r="BB63" s="53"/>
      <c r="BC63" s="21" t="str">
        <f>IFERROR(VLOOKUP(February[[#This Row],[Drug Name8]],'Data Options'!$R$1:$S$100,2,FALSE), " ")</f>
        <v xml:space="preserve"> </v>
      </c>
      <c r="BD63" s="32"/>
      <c r="BE63" s="32"/>
      <c r="BF63" s="53"/>
      <c r="BG63" s="21" t="str">
        <f>IFERROR(VLOOKUP(February[[#This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21" t="str">
        <f>IFERROR(VLOOKUP(February[[#This Row],[Drug Name]],'Data Options'!$R$1:$S$100,2,FALSE), " ")</f>
        <v xml:space="preserve"> </v>
      </c>
      <c r="R64" s="32"/>
      <c r="S64" s="32"/>
      <c r="T64" s="53"/>
      <c r="U64" s="21" t="str">
        <f>IFERROR(VLOOKUP(February[[#This Row],[Drug Name2]],'Data Options'!$R$1:$S$100,2,FALSE), " ")</f>
        <v xml:space="preserve"> </v>
      </c>
      <c r="V64" s="32"/>
      <c r="W64" s="32"/>
      <c r="X64" s="53"/>
      <c r="Y64" s="21" t="str">
        <f>IFERROR(VLOOKUP(February[[#This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21" t="str">
        <f>IFERROR(VLOOKUP(February[[#This Row],[Drug Name4]],'Data Options'!$R$1:$S$100,2,FALSE), " ")</f>
        <v xml:space="preserve"> </v>
      </c>
      <c r="AI64" s="32"/>
      <c r="AJ64" s="32"/>
      <c r="AK64" s="53"/>
      <c r="AL64" s="21" t="str">
        <f>IFERROR(VLOOKUP(February[[#This Row],[Drug Name5]],'Data Options'!$R$1:$S$100,2,FALSE), " ")</f>
        <v xml:space="preserve"> </v>
      </c>
      <c r="AM64" s="32"/>
      <c r="AN64" s="32"/>
      <c r="AO64" s="53"/>
      <c r="AP64" s="21" t="str">
        <f>IFERROR(VLOOKUP(February[[#This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21" t="str">
        <f>IFERROR(VLOOKUP(February[[#This Row],[Drug Name7]],'Data Options'!$R$1:$S$100,2,FALSE), " ")</f>
        <v xml:space="preserve"> </v>
      </c>
      <c r="AZ64" s="32"/>
      <c r="BA64" s="32"/>
      <c r="BB64" s="53"/>
      <c r="BC64" s="21" t="str">
        <f>IFERROR(VLOOKUP(February[[#This Row],[Drug Name8]],'Data Options'!$R$1:$S$100,2,FALSE), " ")</f>
        <v xml:space="preserve"> </v>
      </c>
      <c r="BD64" s="32"/>
      <c r="BE64" s="32"/>
      <c r="BF64" s="53"/>
      <c r="BG64" s="21" t="str">
        <f>IFERROR(VLOOKUP(February[[#This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21" t="str">
        <f>IFERROR(VLOOKUP(February[[#This Row],[Drug Name]],'Data Options'!$R$1:$S$100,2,FALSE), " ")</f>
        <v xml:space="preserve"> </v>
      </c>
      <c r="R65" s="32"/>
      <c r="S65" s="32"/>
      <c r="T65" s="53"/>
      <c r="U65" s="21" t="str">
        <f>IFERROR(VLOOKUP(February[[#This Row],[Drug Name2]],'Data Options'!$R$1:$S$100,2,FALSE), " ")</f>
        <v xml:space="preserve"> </v>
      </c>
      <c r="V65" s="32"/>
      <c r="W65" s="32"/>
      <c r="X65" s="53"/>
      <c r="Y65" s="21" t="str">
        <f>IFERROR(VLOOKUP(February[[#This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21" t="str">
        <f>IFERROR(VLOOKUP(February[[#This Row],[Drug Name4]],'Data Options'!$R$1:$S$100,2,FALSE), " ")</f>
        <v xml:space="preserve"> </v>
      </c>
      <c r="AI65" s="32"/>
      <c r="AJ65" s="32"/>
      <c r="AK65" s="53"/>
      <c r="AL65" s="21" t="str">
        <f>IFERROR(VLOOKUP(February[[#This Row],[Drug Name5]],'Data Options'!$R$1:$S$100,2,FALSE), " ")</f>
        <v xml:space="preserve"> </v>
      </c>
      <c r="AM65" s="32"/>
      <c r="AN65" s="32"/>
      <c r="AO65" s="53"/>
      <c r="AP65" s="21" t="str">
        <f>IFERROR(VLOOKUP(February[[#This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21" t="str">
        <f>IFERROR(VLOOKUP(February[[#This Row],[Drug Name7]],'Data Options'!$R$1:$S$100,2,FALSE), " ")</f>
        <v xml:space="preserve"> </v>
      </c>
      <c r="AZ65" s="32"/>
      <c r="BA65" s="32"/>
      <c r="BB65" s="53"/>
      <c r="BC65" s="21" t="str">
        <f>IFERROR(VLOOKUP(February[[#This Row],[Drug Name8]],'Data Options'!$R$1:$S$100,2,FALSE), " ")</f>
        <v xml:space="preserve"> </v>
      </c>
      <c r="BD65" s="32"/>
      <c r="BE65" s="32"/>
      <c r="BF65" s="53"/>
      <c r="BG65" s="21" t="str">
        <f>IFERROR(VLOOKUP(February[[#This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21" t="str">
        <f>IFERROR(VLOOKUP(February[[#This Row],[Drug Name]],'Data Options'!$R$1:$S$100,2,FALSE), " ")</f>
        <v xml:space="preserve"> </v>
      </c>
      <c r="R66" s="32"/>
      <c r="S66" s="32"/>
      <c r="T66" s="53"/>
      <c r="U66" s="21" t="str">
        <f>IFERROR(VLOOKUP(February[[#This Row],[Drug Name2]],'Data Options'!$R$1:$S$100,2,FALSE), " ")</f>
        <v xml:space="preserve"> </v>
      </c>
      <c r="V66" s="32"/>
      <c r="W66" s="32"/>
      <c r="X66" s="53"/>
      <c r="Y66" s="21" t="str">
        <f>IFERROR(VLOOKUP(February[[#This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21" t="str">
        <f>IFERROR(VLOOKUP(February[[#This Row],[Drug Name4]],'Data Options'!$R$1:$S$100,2,FALSE), " ")</f>
        <v xml:space="preserve"> </v>
      </c>
      <c r="AI66" s="32"/>
      <c r="AJ66" s="32"/>
      <c r="AK66" s="53"/>
      <c r="AL66" s="21" t="str">
        <f>IFERROR(VLOOKUP(February[[#This Row],[Drug Name5]],'Data Options'!$R$1:$S$100,2,FALSE), " ")</f>
        <v xml:space="preserve"> </v>
      </c>
      <c r="AM66" s="32"/>
      <c r="AN66" s="32"/>
      <c r="AO66" s="53"/>
      <c r="AP66" s="21" t="str">
        <f>IFERROR(VLOOKUP(February[[#This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21" t="str">
        <f>IFERROR(VLOOKUP(February[[#This Row],[Drug Name7]],'Data Options'!$R$1:$S$100,2,FALSE), " ")</f>
        <v xml:space="preserve"> </v>
      </c>
      <c r="AZ66" s="32"/>
      <c r="BA66" s="32"/>
      <c r="BB66" s="53"/>
      <c r="BC66" s="21" t="str">
        <f>IFERROR(VLOOKUP(February[[#This Row],[Drug Name8]],'Data Options'!$R$1:$S$100,2,FALSE), " ")</f>
        <v xml:space="preserve"> </v>
      </c>
      <c r="BD66" s="32"/>
      <c r="BE66" s="32"/>
      <c r="BF66" s="53"/>
      <c r="BG66" s="21" t="str">
        <f>IFERROR(VLOOKUP(February[[#This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21" t="str">
        <f>IFERROR(VLOOKUP(February[[#This Row],[Drug Name]],'Data Options'!$R$1:$S$100,2,FALSE), " ")</f>
        <v xml:space="preserve"> </v>
      </c>
      <c r="R67" s="32"/>
      <c r="S67" s="32"/>
      <c r="T67" s="53"/>
      <c r="U67" s="21" t="str">
        <f>IFERROR(VLOOKUP(February[[#This Row],[Drug Name2]],'Data Options'!$R$1:$S$100,2,FALSE), " ")</f>
        <v xml:space="preserve"> </v>
      </c>
      <c r="V67" s="32"/>
      <c r="W67" s="32"/>
      <c r="X67" s="53"/>
      <c r="Y67" s="21" t="str">
        <f>IFERROR(VLOOKUP(February[[#This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21" t="str">
        <f>IFERROR(VLOOKUP(February[[#This Row],[Drug Name4]],'Data Options'!$R$1:$S$100,2,FALSE), " ")</f>
        <v xml:space="preserve"> </v>
      </c>
      <c r="AI67" s="32"/>
      <c r="AJ67" s="32"/>
      <c r="AK67" s="53"/>
      <c r="AL67" s="21" t="str">
        <f>IFERROR(VLOOKUP(February[[#This Row],[Drug Name5]],'Data Options'!$R$1:$S$100,2,FALSE), " ")</f>
        <v xml:space="preserve"> </v>
      </c>
      <c r="AM67" s="32"/>
      <c r="AN67" s="32"/>
      <c r="AO67" s="53"/>
      <c r="AP67" s="21" t="str">
        <f>IFERROR(VLOOKUP(February[[#This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21" t="str">
        <f>IFERROR(VLOOKUP(February[[#This Row],[Drug Name7]],'Data Options'!$R$1:$S$100,2,FALSE), " ")</f>
        <v xml:space="preserve"> </v>
      </c>
      <c r="AZ67" s="32"/>
      <c r="BA67" s="32"/>
      <c r="BB67" s="53"/>
      <c r="BC67" s="21" t="str">
        <f>IFERROR(VLOOKUP(February[[#This Row],[Drug Name8]],'Data Options'!$R$1:$S$100,2,FALSE), " ")</f>
        <v xml:space="preserve"> </v>
      </c>
      <c r="BD67" s="32"/>
      <c r="BE67" s="32"/>
      <c r="BF67" s="53"/>
      <c r="BG67" s="21" t="str">
        <f>IFERROR(VLOOKUP(February[[#This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21" t="str">
        <f>IFERROR(VLOOKUP(February[[#This Row],[Drug Name]],'Data Options'!$R$1:$S$100,2,FALSE), " ")</f>
        <v xml:space="preserve"> </v>
      </c>
      <c r="R68" s="32"/>
      <c r="S68" s="32"/>
      <c r="T68" s="53"/>
      <c r="U68" s="21" t="str">
        <f>IFERROR(VLOOKUP(February[[#This Row],[Drug Name2]],'Data Options'!$R$1:$S$100,2,FALSE), " ")</f>
        <v xml:space="preserve"> </v>
      </c>
      <c r="V68" s="32"/>
      <c r="W68" s="32"/>
      <c r="X68" s="53"/>
      <c r="Y68" s="21" t="str">
        <f>IFERROR(VLOOKUP(February[[#This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21" t="str">
        <f>IFERROR(VLOOKUP(February[[#This Row],[Drug Name4]],'Data Options'!$R$1:$S$100,2,FALSE), " ")</f>
        <v xml:space="preserve"> </v>
      </c>
      <c r="AI68" s="32"/>
      <c r="AJ68" s="32"/>
      <c r="AK68" s="53"/>
      <c r="AL68" s="21" t="str">
        <f>IFERROR(VLOOKUP(February[[#This Row],[Drug Name5]],'Data Options'!$R$1:$S$100,2,FALSE), " ")</f>
        <v xml:space="preserve"> </v>
      </c>
      <c r="AM68" s="32"/>
      <c r="AN68" s="32"/>
      <c r="AO68" s="53"/>
      <c r="AP68" s="21" t="str">
        <f>IFERROR(VLOOKUP(February[[#This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21" t="str">
        <f>IFERROR(VLOOKUP(February[[#This Row],[Drug Name7]],'Data Options'!$R$1:$S$100,2,FALSE), " ")</f>
        <v xml:space="preserve"> </v>
      </c>
      <c r="AZ68" s="32"/>
      <c r="BA68" s="32"/>
      <c r="BB68" s="53"/>
      <c r="BC68" s="21" t="str">
        <f>IFERROR(VLOOKUP(February[[#This Row],[Drug Name8]],'Data Options'!$R$1:$S$100,2,FALSE), " ")</f>
        <v xml:space="preserve"> </v>
      </c>
      <c r="BD68" s="32"/>
      <c r="BE68" s="32"/>
      <c r="BF68" s="53"/>
      <c r="BG68" s="21" t="str">
        <f>IFERROR(VLOOKUP(February[[#This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21" t="str">
        <f>IFERROR(VLOOKUP(February[[#This Row],[Drug Name]],'Data Options'!$R$1:$S$100,2,FALSE), " ")</f>
        <v xml:space="preserve"> </v>
      </c>
      <c r="R69" s="32"/>
      <c r="S69" s="32"/>
      <c r="T69" s="53"/>
      <c r="U69" s="21" t="str">
        <f>IFERROR(VLOOKUP(February[[#This Row],[Drug Name2]],'Data Options'!$R$1:$S$100,2,FALSE), " ")</f>
        <v xml:space="preserve"> </v>
      </c>
      <c r="V69" s="32"/>
      <c r="W69" s="32"/>
      <c r="X69" s="53"/>
      <c r="Y69" s="21" t="str">
        <f>IFERROR(VLOOKUP(February[[#This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21" t="str">
        <f>IFERROR(VLOOKUP(February[[#This Row],[Drug Name4]],'Data Options'!$R$1:$S$100,2,FALSE), " ")</f>
        <v xml:space="preserve"> </v>
      </c>
      <c r="AI69" s="32"/>
      <c r="AJ69" s="32"/>
      <c r="AK69" s="53"/>
      <c r="AL69" s="21" t="str">
        <f>IFERROR(VLOOKUP(February[[#This Row],[Drug Name5]],'Data Options'!$R$1:$S$100,2,FALSE), " ")</f>
        <v xml:space="preserve"> </v>
      </c>
      <c r="AM69" s="32"/>
      <c r="AN69" s="32"/>
      <c r="AO69" s="53"/>
      <c r="AP69" s="21" t="str">
        <f>IFERROR(VLOOKUP(February[[#This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21" t="str">
        <f>IFERROR(VLOOKUP(February[[#This Row],[Drug Name7]],'Data Options'!$R$1:$S$100,2,FALSE), " ")</f>
        <v xml:space="preserve"> </v>
      </c>
      <c r="AZ69" s="32"/>
      <c r="BA69" s="32"/>
      <c r="BB69" s="53"/>
      <c r="BC69" s="21" t="str">
        <f>IFERROR(VLOOKUP(February[[#This Row],[Drug Name8]],'Data Options'!$R$1:$S$100,2,FALSE), " ")</f>
        <v xml:space="preserve"> </v>
      </c>
      <c r="BD69" s="32"/>
      <c r="BE69" s="32"/>
      <c r="BF69" s="53"/>
      <c r="BG69" s="21" t="str">
        <f>IFERROR(VLOOKUP(February[[#This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21" t="str">
        <f>IFERROR(VLOOKUP(February[[#This Row],[Drug Name]],'Data Options'!$R$1:$S$100,2,FALSE), " ")</f>
        <v xml:space="preserve"> </v>
      </c>
      <c r="R70" s="32"/>
      <c r="S70" s="32"/>
      <c r="T70" s="53"/>
      <c r="U70" s="21" t="str">
        <f>IFERROR(VLOOKUP(February[[#This Row],[Drug Name2]],'Data Options'!$R$1:$S$100,2,FALSE), " ")</f>
        <v xml:space="preserve"> </v>
      </c>
      <c r="V70" s="32"/>
      <c r="W70" s="32"/>
      <c r="X70" s="53"/>
      <c r="Y70" s="21" t="str">
        <f>IFERROR(VLOOKUP(February[[#This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21" t="str">
        <f>IFERROR(VLOOKUP(February[[#This Row],[Drug Name4]],'Data Options'!$R$1:$S$100,2,FALSE), " ")</f>
        <v xml:space="preserve"> </v>
      </c>
      <c r="AI70" s="32"/>
      <c r="AJ70" s="32"/>
      <c r="AK70" s="53"/>
      <c r="AL70" s="21" t="str">
        <f>IFERROR(VLOOKUP(February[[#This Row],[Drug Name5]],'Data Options'!$R$1:$S$100,2,FALSE), " ")</f>
        <v xml:space="preserve"> </v>
      </c>
      <c r="AM70" s="32"/>
      <c r="AN70" s="32"/>
      <c r="AO70" s="53"/>
      <c r="AP70" s="21" t="str">
        <f>IFERROR(VLOOKUP(February[[#This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21" t="str">
        <f>IFERROR(VLOOKUP(February[[#This Row],[Drug Name7]],'Data Options'!$R$1:$S$100,2,FALSE), " ")</f>
        <v xml:space="preserve"> </v>
      </c>
      <c r="AZ70" s="32"/>
      <c r="BA70" s="32"/>
      <c r="BB70" s="53"/>
      <c r="BC70" s="21" t="str">
        <f>IFERROR(VLOOKUP(February[[#This Row],[Drug Name8]],'Data Options'!$R$1:$S$100,2,FALSE), " ")</f>
        <v xml:space="preserve"> </v>
      </c>
      <c r="BD70" s="32"/>
      <c r="BE70" s="32"/>
      <c r="BF70" s="53"/>
      <c r="BG70" s="21" t="str">
        <f>IFERROR(VLOOKUP(February[[#This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21" t="str">
        <f>IFERROR(VLOOKUP(February[[#This Row],[Drug Name]],'Data Options'!$R$1:$S$100,2,FALSE), " ")</f>
        <v xml:space="preserve"> </v>
      </c>
      <c r="R71" s="32"/>
      <c r="S71" s="32"/>
      <c r="T71" s="53"/>
      <c r="U71" s="21" t="str">
        <f>IFERROR(VLOOKUP(February[[#This Row],[Drug Name2]],'Data Options'!$R$1:$S$100,2,FALSE), " ")</f>
        <v xml:space="preserve"> </v>
      </c>
      <c r="V71" s="32"/>
      <c r="W71" s="32"/>
      <c r="X71" s="53"/>
      <c r="Y71" s="21" t="str">
        <f>IFERROR(VLOOKUP(February[[#This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21" t="str">
        <f>IFERROR(VLOOKUP(February[[#This Row],[Drug Name4]],'Data Options'!$R$1:$S$100,2,FALSE), " ")</f>
        <v xml:space="preserve"> </v>
      </c>
      <c r="AI71" s="32"/>
      <c r="AJ71" s="32"/>
      <c r="AK71" s="53"/>
      <c r="AL71" s="21" t="str">
        <f>IFERROR(VLOOKUP(February[[#This Row],[Drug Name5]],'Data Options'!$R$1:$S$100,2,FALSE), " ")</f>
        <v xml:space="preserve"> </v>
      </c>
      <c r="AM71" s="32"/>
      <c r="AN71" s="32"/>
      <c r="AO71" s="53"/>
      <c r="AP71" s="21" t="str">
        <f>IFERROR(VLOOKUP(February[[#This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21" t="str">
        <f>IFERROR(VLOOKUP(February[[#This Row],[Drug Name7]],'Data Options'!$R$1:$S$100,2,FALSE), " ")</f>
        <v xml:space="preserve"> </v>
      </c>
      <c r="AZ71" s="32"/>
      <c r="BA71" s="32"/>
      <c r="BB71" s="53"/>
      <c r="BC71" s="21" t="str">
        <f>IFERROR(VLOOKUP(February[[#This Row],[Drug Name8]],'Data Options'!$R$1:$S$100,2,FALSE), " ")</f>
        <v xml:space="preserve"> </v>
      </c>
      <c r="BD71" s="32"/>
      <c r="BE71" s="32"/>
      <c r="BF71" s="53"/>
      <c r="BG71" s="21" t="str">
        <f>IFERROR(VLOOKUP(February[[#This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21" t="str">
        <f>IFERROR(VLOOKUP(February[[#This Row],[Drug Name]],'Data Options'!$R$1:$S$100,2,FALSE), " ")</f>
        <v xml:space="preserve"> </v>
      </c>
      <c r="R72" s="32"/>
      <c r="S72" s="32"/>
      <c r="T72" s="53"/>
      <c r="U72" s="21" t="str">
        <f>IFERROR(VLOOKUP(February[[#This Row],[Drug Name2]],'Data Options'!$R$1:$S$100,2,FALSE), " ")</f>
        <v xml:space="preserve"> </v>
      </c>
      <c r="V72" s="32"/>
      <c r="W72" s="32"/>
      <c r="X72" s="53"/>
      <c r="Y72" s="21" t="str">
        <f>IFERROR(VLOOKUP(February[[#This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21" t="str">
        <f>IFERROR(VLOOKUP(February[[#This Row],[Drug Name4]],'Data Options'!$R$1:$S$100,2,FALSE), " ")</f>
        <v xml:space="preserve"> </v>
      </c>
      <c r="AI72" s="32"/>
      <c r="AJ72" s="32"/>
      <c r="AK72" s="53"/>
      <c r="AL72" s="21" t="str">
        <f>IFERROR(VLOOKUP(February[[#This Row],[Drug Name5]],'Data Options'!$R$1:$S$100,2,FALSE), " ")</f>
        <v xml:space="preserve"> </v>
      </c>
      <c r="AM72" s="32"/>
      <c r="AN72" s="32"/>
      <c r="AO72" s="53"/>
      <c r="AP72" s="21" t="str">
        <f>IFERROR(VLOOKUP(February[[#This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21" t="str">
        <f>IFERROR(VLOOKUP(February[[#This Row],[Drug Name7]],'Data Options'!$R$1:$S$100,2,FALSE), " ")</f>
        <v xml:space="preserve"> </v>
      </c>
      <c r="AZ72" s="32"/>
      <c r="BA72" s="32"/>
      <c r="BB72" s="53"/>
      <c r="BC72" s="21" t="str">
        <f>IFERROR(VLOOKUP(February[[#This Row],[Drug Name8]],'Data Options'!$R$1:$S$100,2,FALSE), " ")</f>
        <v xml:space="preserve"> </v>
      </c>
      <c r="BD72" s="32"/>
      <c r="BE72" s="32"/>
      <c r="BF72" s="53"/>
      <c r="BG72" s="21" t="str">
        <f>IFERROR(VLOOKUP(February[[#This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21" t="str">
        <f>IFERROR(VLOOKUP(February[[#This Row],[Drug Name]],'Data Options'!$R$1:$S$100,2,FALSE), " ")</f>
        <v xml:space="preserve"> </v>
      </c>
      <c r="R73" s="32"/>
      <c r="S73" s="32"/>
      <c r="T73" s="53"/>
      <c r="U73" s="21" t="str">
        <f>IFERROR(VLOOKUP(February[[#This Row],[Drug Name2]],'Data Options'!$R$1:$S$100,2,FALSE), " ")</f>
        <v xml:space="preserve"> </v>
      </c>
      <c r="V73" s="32"/>
      <c r="W73" s="32"/>
      <c r="X73" s="53"/>
      <c r="Y73" s="21" t="str">
        <f>IFERROR(VLOOKUP(February[[#This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21" t="str">
        <f>IFERROR(VLOOKUP(February[[#This Row],[Drug Name4]],'Data Options'!$R$1:$S$100,2,FALSE), " ")</f>
        <v xml:space="preserve"> </v>
      </c>
      <c r="AI73" s="32"/>
      <c r="AJ73" s="32"/>
      <c r="AK73" s="53"/>
      <c r="AL73" s="21" t="str">
        <f>IFERROR(VLOOKUP(February[[#This Row],[Drug Name5]],'Data Options'!$R$1:$S$100,2,FALSE), " ")</f>
        <v xml:space="preserve"> </v>
      </c>
      <c r="AM73" s="32"/>
      <c r="AN73" s="32"/>
      <c r="AO73" s="53"/>
      <c r="AP73" s="21" t="str">
        <f>IFERROR(VLOOKUP(February[[#This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21" t="str">
        <f>IFERROR(VLOOKUP(February[[#This Row],[Drug Name7]],'Data Options'!$R$1:$S$100,2,FALSE), " ")</f>
        <v xml:space="preserve"> </v>
      </c>
      <c r="AZ73" s="32"/>
      <c r="BA73" s="32"/>
      <c r="BB73" s="53"/>
      <c r="BC73" s="21" t="str">
        <f>IFERROR(VLOOKUP(February[[#This Row],[Drug Name8]],'Data Options'!$R$1:$S$100,2,FALSE), " ")</f>
        <v xml:space="preserve"> </v>
      </c>
      <c r="BD73" s="32"/>
      <c r="BE73" s="32"/>
      <c r="BF73" s="53"/>
      <c r="BG73" s="21" t="str">
        <f>IFERROR(VLOOKUP(February[[#This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21" t="str">
        <f>IFERROR(VLOOKUP(February[[#This Row],[Drug Name]],'Data Options'!$R$1:$S$100,2,FALSE), " ")</f>
        <v xml:space="preserve"> </v>
      </c>
      <c r="R74" s="32"/>
      <c r="S74" s="32"/>
      <c r="T74" s="53"/>
      <c r="U74" s="21" t="str">
        <f>IFERROR(VLOOKUP(February[[#This Row],[Drug Name2]],'Data Options'!$R$1:$S$100,2,FALSE), " ")</f>
        <v xml:space="preserve"> </v>
      </c>
      <c r="V74" s="32"/>
      <c r="W74" s="32"/>
      <c r="X74" s="53"/>
      <c r="Y74" s="21" t="str">
        <f>IFERROR(VLOOKUP(February[[#This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21" t="str">
        <f>IFERROR(VLOOKUP(February[[#This Row],[Drug Name4]],'Data Options'!$R$1:$S$100,2,FALSE), " ")</f>
        <v xml:space="preserve"> </v>
      </c>
      <c r="AI74" s="32"/>
      <c r="AJ74" s="32"/>
      <c r="AK74" s="53"/>
      <c r="AL74" s="21" t="str">
        <f>IFERROR(VLOOKUP(February[[#This Row],[Drug Name5]],'Data Options'!$R$1:$S$100,2,FALSE), " ")</f>
        <v xml:space="preserve"> </v>
      </c>
      <c r="AM74" s="32"/>
      <c r="AN74" s="32"/>
      <c r="AO74" s="53"/>
      <c r="AP74" s="21" t="str">
        <f>IFERROR(VLOOKUP(February[[#This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21" t="str">
        <f>IFERROR(VLOOKUP(February[[#This Row],[Drug Name7]],'Data Options'!$R$1:$S$100,2,FALSE), " ")</f>
        <v xml:space="preserve"> </v>
      </c>
      <c r="AZ74" s="32"/>
      <c r="BA74" s="32"/>
      <c r="BB74" s="53"/>
      <c r="BC74" s="21" t="str">
        <f>IFERROR(VLOOKUP(February[[#This Row],[Drug Name8]],'Data Options'!$R$1:$S$100,2,FALSE), " ")</f>
        <v xml:space="preserve"> </v>
      </c>
      <c r="BD74" s="32"/>
      <c r="BE74" s="32"/>
      <c r="BF74" s="53"/>
      <c r="BG74" s="21" t="str">
        <f>IFERROR(VLOOKUP(February[[#This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21" t="str">
        <f>IFERROR(VLOOKUP(February[[#This Row],[Drug Name]],'Data Options'!$R$1:$S$100,2,FALSE), " ")</f>
        <v xml:space="preserve"> </v>
      </c>
      <c r="R75" s="32"/>
      <c r="S75" s="32"/>
      <c r="T75" s="53"/>
      <c r="U75" s="21" t="str">
        <f>IFERROR(VLOOKUP(February[[#This Row],[Drug Name2]],'Data Options'!$R$1:$S$100,2,FALSE), " ")</f>
        <v xml:space="preserve"> </v>
      </c>
      <c r="V75" s="32"/>
      <c r="W75" s="32"/>
      <c r="X75" s="53"/>
      <c r="Y75" s="21" t="str">
        <f>IFERROR(VLOOKUP(February[[#This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21" t="str">
        <f>IFERROR(VLOOKUP(February[[#This Row],[Drug Name4]],'Data Options'!$R$1:$S$100,2,FALSE), " ")</f>
        <v xml:space="preserve"> </v>
      </c>
      <c r="AI75" s="32"/>
      <c r="AJ75" s="32"/>
      <c r="AK75" s="53"/>
      <c r="AL75" s="21" t="str">
        <f>IFERROR(VLOOKUP(February[[#This Row],[Drug Name5]],'Data Options'!$R$1:$S$100,2,FALSE), " ")</f>
        <v xml:space="preserve"> </v>
      </c>
      <c r="AM75" s="32"/>
      <c r="AN75" s="32"/>
      <c r="AO75" s="53"/>
      <c r="AP75" s="21" t="str">
        <f>IFERROR(VLOOKUP(February[[#This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21" t="str">
        <f>IFERROR(VLOOKUP(February[[#This Row],[Drug Name7]],'Data Options'!$R$1:$S$100,2,FALSE), " ")</f>
        <v xml:space="preserve"> </v>
      </c>
      <c r="AZ75" s="32"/>
      <c r="BA75" s="32"/>
      <c r="BB75" s="53"/>
      <c r="BC75" s="21" t="str">
        <f>IFERROR(VLOOKUP(February[[#This Row],[Drug Name8]],'Data Options'!$R$1:$S$100,2,FALSE), " ")</f>
        <v xml:space="preserve"> </v>
      </c>
      <c r="BD75" s="32"/>
      <c r="BE75" s="32"/>
      <c r="BF75" s="53"/>
      <c r="BG75" s="21" t="str">
        <f>IFERROR(VLOOKUP(February[[#This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21" t="str">
        <f>IFERROR(VLOOKUP(February[[#This Row],[Drug Name]],'Data Options'!$R$1:$S$100,2,FALSE), " ")</f>
        <v xml:space="preserve"> </v>
      </c>
      <c r="R76" s="32"/>
      <c r="S76" s="32"/>
      <c r="T76" s="53"/>
      <c r="U76" s="21" t="str">
        <f>IFERROR(VLOOKUP(February[[#This Row],[Drug Name2]],'Data Options'!$R$1:$S$100,2,FALSE), " ")</f>
        <v xml:space="preserve"> </v>
      </c>
      <c r="V76" s="32"/>
      <c r="W76" s="32"/>
      <c r="X76" s="53"/>
      <c r="Y76" s="21" t="str">
        <f>IFERROR(VLOOKUP(February[[#This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21" t="str">
        <f>IFERROR(VLOOKUP(February[[#This Row],[Drug Name4]],'Data Options'!$R$1:$S$100,2,FALSE), " ")</f>
        <v xml:space="preserve"> </v>
      </c>
      <c r="AI76" s="32"/>
      <c r="AJ76" s="32"/>
      <c r="AK76" s="53"/>
      <c r="AL76" s="21" t="str">
        <f>IFERROR(VLOOKUP(February[[#This Row],[Drug Name5]],'Data Options'!$R$1:$S$100,2,FALSE), " ")</f>
        <v xml:space="preserve"> </v>
      </c>
      <c r="AM76" s="32"/>
      <c r="AN76" s="32"/>
      <c r="AO76" s="53"/>
      <c r="AP76" s="21" t="str">
        <f>IFERROR(VLOOKUP(February[[#This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21" t="str">
        <f>IFERROR(VLOOKUP(February[[#This Row],[Drug Name7]],'Data Options'!$R$1:$S$100,2,FALSE), " ")</f>
        <v xml:space="preserve"> </v>
      </c>
      <c r="AZ76" s="32"/>
      <c r="BA76" s="32"/>
      <c r="BB76" s="53"/>
      <c r="BC76" s="21" t="str">
        <f>IFERROR(VLOOKUP(February[[#This Row],[Drug Name8]],'Data Options'!$R$1:$S$100,2,FALSE), " ")</f>
        <v xml:space="preserve"> </v>
      </c>
      <c r="BD76" s="32"/>
      <c r="BE76" s="32"/>
      <c r="BF76" s="53"/>
      <c r="BG76" s="21" t="str">
        <f>IFERROR(VLOOKUP(February[[#This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21" t="str">
        <f>IFERROR(VLOOKUP(February[[#This Row],[Drug Name]],'Data Options'!$R$1:$S$100,2,FALSE), " ")</f>
        <v xml:space="preserve"> </v>
      </c>
      <c r="R77" s="32"/>
      <c r="S77" s="32"/>
      <c r="T77" s="53"/>
      <c r="U77" s="21" t="str">
        <f>IFERROR(VLOOKUP(February[[#This Row],[Drug Name2]],'Data Options'!$R$1:$S$100,2,FALSE), " ")</f>
        <v xml:space="preserve"> </v>
      </c>
      <c r="V77" s="32"/>
      <c r="W77" s="32"/>
      <c r="X77" s="53"/>
      <c r="Y77" s="21" t="str">
        <f>IFERROR(VLOOKUP(February[[#This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21" t="str">
        <f>IFERROR(VLOOKUP(February[[#This Row],[Drug Name4]],'Data Options'!$R$1:$S$100,2,FALSE), " ")</f>
        <v xml:space="preserve"> </v>
      </c>
      <c r="AI77" s="32"/>
      <c r="AJ77" s="32"/>
      <c r="AK77" s="53"/>
      <c r="AL77" s="21" t="str">
        <f>IFERROR(VLOOKUP(February[[#This Row],[Drug Name5]],'Data Options'!$R$1:$S$100,2,FALSE), " ")</f>
        <v xml:space="preserve"> </v>
      </c>
      <c r="AM77" s="32"/>
      <c r="AN77" s="32"/>
      <c r="AO77" s="53"/>
      <c r="AP77" s="21" t="str">
        <f>IFERROR(VLOOKUP(February[[#This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21" t="str">
        <f>IFERROR(VLOOKUP(February[[#This Row],[Drug Name7]],'Data Options'!$R$1:$S$100,2,FALSE), " ")</f>
        <v xml:space="preserve"> </v>
      </c>
      <c r="AZ77" s="32"/>
      <c r="BA77" s="32"/>
      <c r="BB77" s="53"/>
      <c r="BC77" s="21" t="str">
        <f>IFERROR(VLOOKUP(February[[#This Row],[Drug Name8]],'Data Options'!$R$1:$S$100,2,FALSE), " ")</f>
        <v xml:space="preserve"> </v>
      </c>
      <c r="BD77" s="32"/>
      <c r="BE77" s="32"/>
      <c r="BF77" s="53"/>
      <c r="BG77" s="21" t="str">
        <f>IFERROR(VLOOKUP(February[[#This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21" t="str">
        <f>IFERROR(VLOOKUP(February[[#This Row],[Drug Name]],'Data Options'!$R$1:$S$100,2,FALSE), " ")</f>
        <v xml:space="preserve"> </v>
      </c>
      <c r="R78" s="32"/>
      <c r="S78" s="32"/>
      <c r="T78" s="53"/>
      <c r="U78" s="21" t="str">
        <f>IFERROR(VLOOKUP(February[[#This Row],[Drug Name2]],'Data Options'!$R$1:$S$100,2,FALSE), " ")</f>
        <v xml:space="preserve"> </v>
      </c>
      <c r="V78" s="32"/>
      <c r="W78" s="32"/>
      <c r="X78" s="53"/>
      <c r="Y78" s="21" t="str">
        <f>IFERROR(VLOOKUP(February[[#This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21" t="str">
        <f>IFERROR(VLOOKUP(February[[#This Row],[Drug Name4]],'Data Options'!$R$1:$S$100,2,FALSE), " ")</f>
        <v xml:space="preserve"> </v>
      </c>
      <c r="AI78" s="32"/>
      <c r="AJ78" s="32"/>
      <c r="AK78" s="53"/>
      <c r="AL78" s="21" t="str">
        <f>IFERROR(VLOOKUP(February[[#This Row],[Drug Name5]],'Data Options'!$R$1:$S$100,2,FALSE), " ")</f>
        <v xml:space="preserve"> </v>
      </c>
      <c r="AM78" s="32"/>
      <c r="AN78" s="32"/>
      <c r="AO78" s="53"/>
      <c r="AP78" s="21" t="str">
        <f>IFERROR(VLOOKUP(February[[#This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21" t="str">
        <f>IFERROR(VLOOKUP(February[[#This Row],[Drug Name7]],'Data Options'!$R$1:$S$100,2,FALSE), " ")</f>
        <v xml:space="preserve"> </v>
      </c>
      <c r="AZ78" s="32"/>
      <c r="BA78" s="32"/>
      <c r="BB78" s="53"/>
      <c r="BC78" s="21" t="str">
        <f>IFERROR(VLOOKUP(February[[#This Row],[Drug Name8]],'Data Options'!$R$1:$S$100,2,FALSE), " ")</f>
        <v xml:space="preserve"> </v>
      </c>
      <c r="BD78" s="32"/>
      <c r="BE78" s="32"/>
      <c r="BF78" s="53"/>
      <c r="BG78" s="21" t="str">
        <f>IFERROR(VLOOKUP(February[[#This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21" t="str">
        <f>IFERROR(VLOOKUP(February[[#This Row],[Drug Name]],'Data Options'!$R$1:$S$100,2,FALSE), " ")</f>
        <v xml:space="preserve"> </v>
      </c>
      <c r="R79" s="32"/>
      <c r="S79" s="32"/>
      <c r="T79" s="53"/>
      <c r="U79" s="21" t="str">
        <f>IFERROR(VLOOKUP(February[[#This Row],[Drug Name2]],'Data Options'!$R$1:$S$100,2,FALSE), " ")</f>
        <v xml:space="preserve"> </v>
      </c>
      <c r="V79" s="32"/>
      <c r="W79" s="32"/>
      <c r="X79" s="53"/>
      <c r="Y79" s="21" t="str">
        <f>IFERROR(VLOOKUP(February[[#This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21" t="str">
        <f>IFERROR(VLOOKUP(February[[#This Row],[Drug Name4]],'Data Options'!$R$1:$S$100,2,FALSE), " ")</f>
        <v xml:space="preserve"> </v>
      </c>
      <c r="AI79" s="32"/>
      <c r="AJ79" s="32"/>
      <c r="AK79" s="53"/>
      <c r="AL79" s="21" t="str">
        <f>IFERROR(VLOOKUP(February[[#This Row],[Drug Name5]],'Data Options'!$R$1:$S$100,2,FALSE), " ")</f>
        <v xml:space="preserve"> </v>
      </c>
      <c r="AM79" s="32"/>
      <c r="AN79" s="32"/>
      <c r="AO79" s="53"/>
      <c r="AP79" s="21" t="str">
        <f>IFERROR(VLOOKUP(February[[#This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21" t="str">
        <f>IFERROR(VLOOKUP(February[[#This Row],[Drug Name7]],'Data Options'!$R$1:$S$100,2,FALSE), " ")</f>
        <v xml:space="preserve"> </v>
      </c>
      <c r="AZ79" s="32"/>
      <c r="BA79" s="32"/>
      <c r="BB79" s="53"/>
      <c r="BC79" s="21" t="str">
        <f>IFERROR(VLOOKUP(February[[#This Row],[Drug Name8]],'Data Options'!$R$1:$S$100,2,FALSE), " ")</f>
        <v xml:space="preserve"> </v>
      </c>
      <c r="BD79" s="32"/>
      <c r="BE79" s="32"/>
      <c r="BF79" s="53"/>
      <c r="BG79" s="21" t="str">
        <f>IFERROR(VLOOKUP(February[[#This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21" t="str">
        <f>IFERROR(VLOOKUP(February[[#This Row],[Drug Name]],'Data Options'!$R$1:$S$100,2,FALSE), " ")</f>
        <v xml:space="preserve"> </v>
      </c>
      <c r="R80" s="32"/>
      <c r="S80" s="32"/>
      <c r="T80" s="53"/>
      <c r="U80" s="21" t="str">
        <f>IFERROR(VLOOKUP(February[[#This Row],[Drug Name2]],'Data Options'!$R$1:$S$100,2,FALSE), " ")</f>
        <v xml:space="preserve"> </v>
      </c>
      <c r="V80" s="32"/>
      <c r="W80" s="32"/>
      <c r="X80" s="53"/>
      <c r="Y80" s="21" t="str">
        <f>IFERROR(VLOOKUP(February[[#This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21" t="str">
        <f>IFERROR(VLOOKUP(February[[#This Row],[Drug Name4]],'Data Options'!$R$1:$S$100,2,FALSE), " ")</f>
        <v xml:space="preserve"> </v>
      </c>
      <c r="AI80" s="32"/>
      <c r="AJ80" s="32"/>
      <c r="AK80" s="53"/>
      <c r="AL80" s="21" t="str">
        <f>IFERROR(VLOOKUP(February[[#This Row],[Drug Name5]],'Data Options'!$R$1:$S$100,2,FALSE), " ")</f>
        <v xml:space="preserve"> </v>
      </c>
      <c r="AM80" s="32"/>
      <c r="AN80" s="32"/>
      <c r="AO80" s="53"/>
      <c r="AP80" s="21" t="str">
        <f>IFERROR(VLOOKUP(February[[#This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21" t="str">
        <f>IFERROR(VLOOKUP(February[[#This Row],[Drug Name7]],'Data Options'!$R$1:$S$100,2,FALSE), " ")</f>
        <v xml:space="preserve"> </v>
      </c>
      <c r="AZ80" s="32"/>
      <c r="BA80" s="32"/>
      <c r="BB80" s="53"/>
      <c r="BC80" s="21" t="str">
        <f>IFERROR(VLOOKUP(February[[#This Row],[Drug Name8]],'Data Options'!$R$1:$S$100,2,FALSE), " ")</f>
        <v xml:space="preserve"> </v>
      </c>
      <c r="BD80" s="32"/>
      <c r="BE80" s="32"/>
      <c r="BF80" s="53"/>
      <c r="BG80" s="21" t="str">
        <f>IFERROR(VLOOKUP(February[[#This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21" t="str">
        <f>IFERROR(VLOOKUP(February[[#This Row],[Drug Name]],'Data Options'!$R$1:$S$100,2,FALSE), " ")</f>
        <v xml:space="preserve"> </v>
      </c>
      <c r="R81" s="32"/>
      <c r="S81" s="32"/>
      <c r="T81" s="53"/>
      <c r="U81" s="21" t="str">
        <f>IFERROR(VLOOKUP(February[[#This Row],[Drug Name2]],'Data Options'!$R$1:$S$100,2,FALSE), " ")</f>
        <v xml:space="preserve"> </v>
      </c>
      <c r="V81" s="32"/>
      <c r="W81" s="32"/>
      <c r="X81" s="53"/>
      <c r="Y81" s="21" t="str">
        <f>IFERROR(VLOOKUP(February[[#This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21" t="str">
        <f>IFERROR(VLOOKUP(February[[#This Row],[Drug Name4]],'Data Options'!$R$1:$S$100,2,FALSE), " ")</f>
        <v xml:space="preserve"> </v>
      </c>
      <c r="AI81" s="32"/>
      <c r="AJ81" s="32"/>
      <c r="AK81" s="53"/>
      <c r="AL81" s="21" t="str">
        <f>IFERROR(VLOOKUP(February[[#This Row],[Drug Name5]],'Data Options'!$R$1:$S$100,2,FALSE), " ")</f>
        <v xml:space="preserve"> </v>
      </c>
      <c r="AM81" s="32"/>
      <c r="AN81" s="32"/>
      <c r="AO81" s="53"/>
      <c r="AP81" s="21" t="str">
        <f>IFERROR(VLOOKUP(February[[#This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21" t="str">
        <f>IFERROR(VLOOKUP(February[[#This Row],[Drug Name7]],'Data Options'!$R$1:$S$100,2,FALSE), " ")</f>
        <v xml:space="preserve"> </v>
      </c>
      <c r="AZ81" s="32"/>
      <c r="BA81" s="32"/>
      <c r="BB81" s="53"/>
      <c r="BC81" s="21" t="str">
        <f>IFERROR(VLOOKUP(February[[#This Row],[Drug Name8]],'Data Options'!$R$1:$S$100,2,FALSE), " ")</f>
        <v xml:space="preserve"> </v>
      </c>
      <c r="BD81" s="32"/>
      <c r="BE81" s="32"/>
      <c r="BF81" s="53"/>
      <c r="BG81" s="21" t="str">
        <f>IFERROR(VLOOKUP(February[[#This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21" t="str">
        <f>IFERROR(VLOOKUP(February[[#This Row],[Drug Name]],'Data Options'!$R$1:$S$100,2,FALSE), " ")</f>
        <v xml:space="preserve"> </v>
      </c>
      <c r="R82" s="32"/>
      <c r="S82" s="32"/>
      <c r="T82" s="53"/>
      <c r="U82" s="21" t="str">
        <f>IFERROR(VLOOKUP(February[[#This Row],[Drug Name2]],'Data Options'!$R$1:$S$100,2,FALSE), " ")</f>
        <v xml:space="preserve"> </v>
      </c>
      <c r="V82" s="32"/>
      <c r="W82" s="32"/>
      <c r="X82" s="53"/>
      <c r="Y82" s="21" t="str">
        <f>IFERROR(VLOOKUP(February[[#This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21" t="str">
        <f>IFERROR(VLOOKUP(February[[#This Row],[Drug Name4]],'Data Options'!$R$1:$S$100,2,FALSE), " ")</f>
        <v xml:space="preserve"> </v>
      </c>
      <c r="AI82" s="32"/>
      <c r="AJ82" s="32"/>
      <c r="AK82" s="53"/>
      <c r="AL82" s="21" t="str">
        <f>IFERROR(VLOOKUP(February[[#This Row],[Drug Name5]],'Data Options'!$R$1:$S$100,2,FALSE), " ")</f>
        <v xml:space="preserve"> </v>
      </c>
      <c r="AM82" s="32"/>
      <c r="AN82" s="32"/>
      <c r="AO82" s="53"/>
      <c r="AP82" s="21" t="str">
        <f>IFERROR(VLOOKUP(February[[#This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21" t="str">
        <f>IFERROR(VLOOKUP(February[[#This Row],[Drug Name7]],'Data Options'!$R$1:$S$100,2,FALSE), " ")</f>
        <v xml:space="preserve"> </v>
      </c>
      <c r="AZ82" s="32"/>
      <c r="BA82" s="32"/>
      <c r="BB82" s="53"/>
      <c r="BC82" s="21" t="str">
        <f>IFERROR(VLOOKUP(February[[#This Row],[Drug Name8]],'Data Options'!$R$1:$S$100,2,FALSE), " ")</f>
        <v xml:space="preserve"> </v>
      </c>
      <c r="BD82" s="32"/>
      <c r="BE82" s="32"/>
      <c r="BF82" s="53"/>
      <c r="BG82" s="21" t="str">
        <f>IFERROR(VLOOKUP(February[[#This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21" t="str">
        <f>IFERROR(VLOOKUP(February[[#This Row],[Drug Name]],'Data Options'!$R$1:$S$100,2,FALSE), " ")</f>
        <v xml:space="preserve"> </v>
      </c>
      <c r="R83" s="32"/>
      <c r="S83" s="32"/>
      <c r="T83" s="53"/>
      <c r="U83" s="21" t="str">
        <f>IFERROR(VLOOKUP(February[[#This Row],[Drug Name2]],'Data Options'!$R$1:$S$100,2,FALSE), " ")</f>
        <v xml:space="preserve"> </v>
      </c>
      <c r="V83" s="32"/>
      <c r="W83" s="32"/>
      <c r="X83" s="53"/>
      <c r="Y83" s="21" t="str">
        <f>IFERROR(VLOOKUP(February[[#This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21" t="str">
        <f>IFERROR(VLOOKUP(February[[#This Row],[Drug Name4]],'Data Options'!$R$1:$S$100,2,FALSE), " ")</f>
        <v xml:space="preserve"> </v>
      </c>
      <c r="AI83" s="32"/>
      <c r="AJ83" s="32"/>
      <c r="AK83" s="53"/>
      <c r="AL83" s="21" t="str">
        <f>IFERROR(VLOOKUP(February[[#This Row],[Drug Name5]],'Data Options'!$R$1:$S$100,2,FALSE), " ")</f>
        <v xml:space="preserve"> </v>
      </c>
      <c r="AM83" s="32"/>
      <c r="AN83" s="32"/>
      <c r="AO83" s="53"/>
      <c r="AP83" s="21" t="str">
        <f>IFERROR(VLOOKUP(February[[#This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21" t="str">
        <f>IFERROR(VLOOKUP(February[[#This Row],[Drug Name7]],'Data Options'!$R$1:$S$100,2,FALSE), " ")</f>
        <v xml:space="preserve"> </v>
      </c>
      <c r="AZ83" s="32"/>
      <c r="BA83" s="32"/>
      <c r="BB83" s="53"/>
      <c r="BC83" s="21" t="str">
        <f>IFERROR(VLOOKUP(February[[#This Row],[Drug Name8]],'Data Options'!$R$1:$S$100,2,FALSE), " ")</f>
        <v xml:space="preserve"> </v>
      </c>
      <c r="BD83" s="32"/>
      <c r="BE83" s="32"/>
      <c r="BF83" s="53"/>
      <c r="BG83" s="21" t="str">
        <f>IFERROR(VLOOKUP(February[[#This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21" t="str">
        <f>IFERROR(VLOOKUP(February[[#This Row],[Drug Name]],'Data Options'!$R$1:$S$100,2,FALSE), " ")</f>
        <v xml:space="preserve"> </v>
      </c>
      <c r="R84" s="32"/>
      <c r="S84" s="32"/>
      <c r="T84" s="53"/>
      <c r="U84" s="21" t="str">
        <f>IFERROR(VLOOKUP(February[[#This Row],[Drug Name2]],'Data Options'!$R$1:$S$100,2,FALSE), " ")</f>
        <v xml:space="preserve"> </v>
      </c>
      <c r="V84" s="32"/>
      <c r="W84" s="32"/>
      <c r="X84" s="53"/>
      <c r="Y84" s="21" t="str">
        <f>IFERROR(VLOOKUP(February[[#This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21" t="str">
        <f>IFERROR(VLOOKUP(February[[#This Row],[Drug Name4]],'Data Options'!$R$1:$S$100,2,FALSE), " ")</f>
        <v xml:space="preserve"> </v>
      </c>
      <c r="AI84" s="32"/>
      <c r="AJ84" s="32"/>
      <c r="AK84" s="53"/>
      <c r="AL84" s="21" t="str">
        <f>IFERROR(VLOOKUP(February[[#This Row],[Drug Name5]],'Data Options'!$R$1:$S$100,2,FALSE), " ")</f>
        <v xml:space="preserve"> </v>
      </c>
      <c r="AM84" s="32"/>
      <c r="AN84" s="32"/>
      <c r="AO84" s="53"/>
      <c r="AP84" s="21" t="str">
        <f>IFERROR(VLOOKUP(February[[#This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21" t="str">
        <f>IFERROR(VLOOKUP(February[[#This Row],[Drug Name7]],'Data Options'!$R$1:$S$100,2,FALSE), " ")</f>
        <v xml:space="preserve"> </v>
      </c>
      <c r="AZ84" s="32"/>
      <c r="BA84" s="32"/>
      <c r="BB84" s="53"/>
      <c r="BC84" s="21" t="str">
        <f>IFERROR(VLOOKUP(February[[#This Row],[Drug Name8]],'Data Options'!$R$1:$S$100,2,FALSE), " ")</f>
        <v xml:space="preserve"> </v>
      </c>
      <c r="BD84" s="32"/>
      <c r="BE84" s="32"/>
      <c r="BF84" s="53"/>
      <c r="BG84" s="21" t="str">
        <f>IFERROR(VLOOKUP(February[[#This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21" t="str">
        <f>IFERROR(VLOOKUP(February[[#This Row],[Drug Name]],'Data Options'!$R$1:$S$100,2,FALSE), " ")</f>
        <v xml:space="preserve"> </v>
      </c>
      <c r="R85" s="32"/>
      <c r="S85" s="32"/>
      <c r="T85" s="53"/>
      <c r="U85" s="21" t="str">
        <f>IFERROR(VLOOKUP(February[[#This Row],[Drug Name2]],'Data Options'!$R$1:$S$100,2,FALSE), " ")</f>
        <v xml:space="preserve"> </v>
      </c>
      <c r="V85" s="32"/>
      <c r="W85" s="32"/>
      <c r="X85" s="53"/>
      <c r="Y85" s="21" t="str">
        <f>IFERROR(VLOOKUP(February[[#This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21" t="str">
        <f>IFERROR(VLOOKUP(February[[#This Row],[Drug Name4]],'Data Options'!$R$1:$S$100,2,FALSE), " ")</f>
        <v xml:space="preserve"> </v>
      </c>
      <c r="AI85" s="32"/>
      <c r="AJ85" s="32"/>
      <c r="AK85" s="53"/>
      <c r="AL85" s="21" t="str">
        <f>IFERROR(VLOOKUP(February[[#This Row],[Drug Name5]],'Data Options'!$R$1:$S$100,2,FALSE), " ")</f>
        <v xml:space="preserve"> </v>
      </c>
      <c r="AM85" s="32"/>
      <c r="AN85" s="32"/>
      <c r="AO85" s="53"/>
      <c r="AP85" s="21" t="str">
        <f>IFERROR(VLOOKUP(February[[#This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21" t="str">
        <f>IFERROR(VLOOKUP(February[[#This Row],[Drug Name7]],'Data Options'!$R$1:$S$100,2,FALSE), " ")</f>
        <v xml:space="preserve"> </v>
      </c>
      <c r="AZ85" s="32"/>
      <c r="BA85" s="32"/>
      <c r="BB85" s="53"/>
      <c r="BC85" s="21" t="str">
        <f>IFERROR(VLOOKUP(February[[#This Row],[Drug Name8]],'Data Options'!$R$1:$S$100,2,FALSE), " ")</f>
        <v xml:space="preserve"> </v>
      </c>
      <c r="BD85" s="32"/>
      <c r="BE85" s="32"/>
      <c r="BF85" s="53"/>
      <c r="BG85" s="21" t="str">
        <f>IFERROR(VLOOKUP(February[[#This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21" t="str">
        <f>IFERROR(VLOOKUP(February[[#This Row],[Drug Name]],'Data Options'!$R$1:$S$100,2,FALSE), " ")</f>
        <v xml:space="preserve"> </v>
      </c>
      <c r="R86" s="32"/>
      <c r="S86" s="32"/>
      <c r="T86" s="53"/>
      <c r="U86" s="21" t="str">
        <f>IFERROR(VLOOKUP(February[[#This Row],[Drug Name2]],'Data Options'!$R$1:$S$100,2,FALSE), " ")</f>
        <v xml:space="preserve"> </v>
      </c>
      <c r="V86" s="32"/>
      <c r="W86" s="32"/>
      <c r="X86" s="53"/>
      <c r="Y86" s="21" t="str">
        <f>IFERROR(VLOOKUP(February[[#This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21" t="str">
        <f>IFERROR(VLOOKUP(February[[#This Row],[Drug Name4]],'Data Options'!$R$1:$S$100,2,FALSE), " ")</f>
        <v xml:space="preserve"> </v>
      </c>
      <c r="AI86" s="32"/>
      <c r="AJ86" s="32"/>
      <c r="AK86" s="53"/>
      <c r="AL86" s="21" t="str">
        <f>IFERROR(VLOOKUP(February[[#This Row],[Drug Name5]],'Data Options'!$R$1:$S$100,2,FALSE), " ")</f>
        <v xml:space="preserve"> </v>
      </c>
      <c r="AM86" s="32"/>
      <c r="AN86" s="32"/>
      <c r="AO86" s="53"/>
      <c r="AP86" s="21" t="str">
        <f>IFERROR(VLOOKUP(February[[#This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21" t="str">
        <f>IFERROR(VLOOKUP(February[[#This Row],[Drug Name7]],'Data Options'!$R$1:$S$100,2,FALSE), " ")</f>
        <v xml:space="preserve"> </v>
      </c>
      <c r="AZ86" s="32"/>
      <c r="BA86" s="32"/>
      <c r="BB86" s="53"/>
      <c r="BC86" s="21" t="str">
        <f>IFERROR(VLOOKUP(February[[#This Row],[Drug Name8]],'Data Options'!$R$1:$S$100,2,FALSE), " ")</f>
        <v xml:space="preserve"> </v>
      </c>
      <c r="BD86" s="32"/>
      <c r="BE86" s="32"/>
      <c r="BF86" s="53"/>
      <c r="BG86" s="21" t="str">
        <f>IFERROR(VLOOKUP(February[[#This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21" t="str">
        <f>IFERROR(VLOOKUP(February[[#This Row],[Drug Name]],'Data Options'!$R$1:$S$100,2,FALSE), " ")</f>
        <v xml:space="preserve"> </v>
      </c>
      <c r="R87" s="32"/>
      <c r="S87" s="32"/>
      <c r="T87" s="53"/>
      <c r="U87" s="21" t="str">
        <f>IFERROR(VLOOKUP(February[[#This Row],[Drug Name2]],'Data Options'!$R$1:$S$100,2,FALSE), " ")</f>
        <v xml:space="preserve"> </v>
      </c>
      <c r="V87" s="32"/>
      <c r="W87" s="32"/>
      <c r="X87" s="53"/>
      <c r="Y87" s="21" t="str">
        <f>IFERROR(VLOOKUP(February[[#This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21" t="str">
        <f>IFERROR(VLOOKUP(February[[#This Row],[Drug Name4]],'Data Options'!$R$1:$S$100,2,FALSE), " ")</f>
        <v xml:space="preserve"> </v>
      </c>
      <c r="AI87" s="32"/>
      <c r="AJ87" s="32"/>
      <c r="AK87" s="53"/>
      <c r="AL87" s="21" t="str">
        <f>IFERROR(VLOOKUP(February[[#This Row],[Drug Name5]],'Data Options'!$R$1:$S$100,2,FALSE), " ")</f>
        <v xml:space="preserve"> </v>
      </c>
      <c r="AM87" s="32"/>
      <c r="AN87" s="32"/>
      <c r="AO87" s="53"/>
      <c r="AP87" s="21" t="str">
        <f>IFERROR(VLOOKUP(February[[#This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21" t="str">
        <f>IFERROR(VLOOKUP(February[[#This Row],[Drug Name7]],'Data Options'!$R$1:$S$100,2,FALSE), " ")</f>
        <v xml:space="preserve"> </v>
      </c>
      <c r="AZ87" s="32"/>
      <c r="BA87" s="32"/>
      <c r="BB87" s="53"/>
      <c r="BC87" s="21" t="str">
        <f>IFERROR(VLOOKUP(February[[#This Row],[Drug Name8]],'Data Options'!$R$1:$S$100,2,FALSE), " ")</f>
        <v xml:space="preserve"> </v>
      </c>
      <c r="BD87" s="32"/>
      <c r="BE87" s="32"/>
      <c r="BF87" s="53"/>
      <c r="BG87" s="21" t="str">
        <f>IFERROR(VLOOKUP(February[[#This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21" t="str">
        <f>IFERROR(VLOOKUP(February[[#This Row],[Drug Name]],'Data Options'!$R$1:$S$100,2,FALSE), " ")</f>
        <v xml:space="preserve"> </v>
      </c>
      <c r="R88" s="32"/>
      <c r="S88" s="32"/>
      <c r="T88" s="53"/>
      <c r="U88" s="21" t="str">
        <f>IFERROR(VLOOKUP(February[[#This Row],[Drug Name2]],'Data Options'!$R$1:$S$100,2,FALSE), " ")</f>
        <v xml:space="preserve"> </v>
      </c>
      <c r="V88" s="32"/>
      <c r="W88" s="32"/>
      <c r="X88" s="53"/>
      <c r="Y88" s="21" t="str">
        <f>IFERROR(VLOOKUP(February[[#This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21" t="str">
        <f>IFERROR(VLOOKUP(February[[#This Row],[Drug Name4]],'Data Options'!$R$1:$S$100,2,FALSE), " ")</f>
        <v xml:space="preserve"> </v>
      </c>
      <c r="AI88" s="32"/>
      <c r="AJ88" s="32"/>
      <c r="AK88" s="53"/>
      <c r="AL88" s="21" t="str">
        <f>IFERROR(VLOOKUP(February[[#This Row],[Drug Name5]],'Data Options'!$R$1:$S$100,2,FALSE), " ")</f>
        <v xml:space="preserve"> </v>
      </c>
      <c r="AM88" s="32"/>
      <c r="AN88" s="32"/>
      <c r="AO88" s="53"/>
      <c r="AP88" s="21" t="str">
        <f>IFERROR(VLOOKUP(February[[#This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21" t="str">
        <f>IFERROR(VLOOKUP(February[[#This Row],[Drug Name7]],'Data Options'!$R$1:$S$100,2,FALSE), " ")</f>
        <v xml:space="preserve"> </v>
      </c>
      <c r="AZ88" s="32"/>
      <c r="BA88" s="32"/>
      <c r="BB88" s="53"/>
      <c r="BC88" s="21" t="str">
        <f>IFERROR(VLOOKUP(February[[#This Row],[Drug Name8]],'Data Options'!$R$1:$S$100,2,FALSE), " ")</f>
        <v xml:space="preserve"> </v>
      </c>
      <c r="BD88" s="32"/>
      <c r="BE88" s="32"/>
      <c r="BF88" s="53"/>
      <c r="BG88" s="21" t="str">
        <f>IFERROR(VLOOKUP(February[[#This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21" t="str">
        <f>IFERROR(VLOOKUP(February[[#This Row],[Drug Name]],'Data Options'!$R$1:$S$100,2,FALSE), " ")</f>
        <v xml:space="preserve"> </v>
      </c>
      <c r="R89" s="32"/>
      <c r="S89" s="32"/>
      <c r="T89" s="53"/>
      <c r="U89" s="21" t="str">
        <f>IFERROR(VLOOKUP(February[[#This Row],[Drug Name2]],'Data Options'!$R$1:$S$100,2,FALSE), " ")</f>
        <v xml:space="preserve"> </v>
      </c>
      <c r="V89" s="32"/>
      <c r="W89" s="32"/>
      <c r="X89" s="53"/>
      <c r="Y89" s="21" t="str">
        <f>IFERROR(VLOOKUP(February[[#This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21" t="str">
        <f>IFERROR(VLOOKUP(February[[#This Row],[Drug Name4]],'Data Options'!$R$1:$S$100,2,FALSE), " ")</f>
        <v xml:space="preserve"> </v>
      </c>
      <c r="AI89" s="32"/>
      <c r="AJ89" s="32"/>
      <c r="AK89" s="53"/>
      <c r="AL89" s="21" t="str">
        <f>IFERROR(VLOOKUP(February[[#This Row],[Drug Name5]],'Data Options'!$R$1:$S$100,2,FALSE), " ")</f>
        <v xml:space="preserve"> </v>
      </c>
      <c r="AM89" s="32"/>
      <c r="AN89" s="32"/>
      <c r="AO89" s="53"/>
      <c r="AP89" s="21" t="str">
        <f>IFERROR(VLOOKUP(February[[#This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21" t="str">
        <f>IFERROR(VLOOKUP(February[[#This Row],[Drug Name7]],'Data Options'!$R$1:$S$100,2,FALSE), " ")</f>
        <v xml:space="preserve"> </v>
      </c>
      <c r="AZ89" s="32"/>
      <c r="BA89" s="32"/>
      <c r="BB89" s="53"/>
      <c r="BC89" s="21" t="str">
        <f>IFERROR(VLOOKUP(February[[#This Row],[Drug Name8]],'Data Options'!$R$1:$S$100,2,FALSE), " ")</f>
        <v xml:space="preserve"> </v>
      </c>
      <c r="BD89" s="32"/>
      <c r="BE89" s="32"/>
      <c r="BF89" s="53"/>
      <c r="BG89" s="21" t="str">
        <f>IFERROR(VLOOKUP(February[[#This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21" t="str">
        <f>IFERROR(VLOOKUP(February[[#This Row],[Drug Name]],'Data Options'!$R$1:$S$100,2,FALSE), " ")</f>
        <v xml:space="preserve"> </v>
      </c>
      <c r="R90" s="32"/>
      <c r="S90" s="32"/>
      <c r="T90" s="53"/>
      <c r="U90" s="21" t="str">
        <f>IFERROR(VLOOKUP(February[[#This Row],[Drug Name2]],'Data Options'!$R$1:$S$100,2,FALSE), " ")</f>
        <v xml:space="preserve"> </v>
      </c>
      <c r="V90" s="32"/>
      <c r="W90" s="32"/>
      <c r="X90" s="53"/>
      <c r="Y90" s="21" t="str">
        <f>IFERROR(VLOOKUP(February[[#This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21" t="str">
        <f>IFERROR(VLOOKUP(February[[#This Row],[Drug Name4]],'Data Options'!$R$1:$S$100,2,FALSE), " ")</f>
        <v xml:space="preserve"> </v>
      </c>
      <c r="AI90" s="32"/>
      <c r="AJ90" s="32"/>
      <c r="AK90" s="53"/>
      <c r="AL90" s="21" t="str">
        <f>IFERROR(VLOOKUP(February[[#This Row],[Drug Name5]],'Data Options'!$R$1:$S$100,2,FALSE), " ")</f>
        <v xml:space="preserve"> </v>
      </c>
      <c r="AM90" s="32"/>
      <c r="AN90" s="32"/>
      <c r="AO90" s="53"/>
      <c r="AP90" s="21" t="str">
        <f>IFERROR(VLOOKUP(February[[#This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21" t="str">
        <f>IFERROR(VLOOKUP(February[[#This Row],[Drug Name7]],'Data Options'!$R$1:$S$100,2,FALSE), " ")</f>
        <v xml:space="preserve"> </v>
      </c>
      <c r="AZ90" s="32"/>
      <c r="BA90" s="32"/>
      <c r="BB90" s="53"/>
      <c r="BC90" s="21" t="str">
        <f>IFERROR(VLOOKUP(February[[#This Row],[Drug Name8]],'Data Options'!$R$1:$S$100,2,FALSE), " ")</f>
        <v xml:space="preserve"> </v>
      </c>
      <c r="BD90" s="32"/>
      <c r="BE90" s="32"/>
      <c r="BF90" s="53"/>
      <c r="BG90" s="21" t="str">
        <f>IFERROR(VLOOKUP(February[[#This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21" t="str">
        <f>IFERROR(VLOOKUP(February[[#This Row],[Drug Name]],'Data Options'!$R$1:$S$100,2,FALSE), " ")</f>
        <v xml:space="preserve"> </v>
      </c>
      <c r="R91" s="32"/>
      <c r="S91" s="32"/>
      <c r="T91" s="53"/>
      <c r="U91" s="21" t="str">
        <f>IFERROR(VLOOKUP(February[[#This Row],[Drug Name2]],'Data Options'!$R$1:$S$100,2,FALSE), " ")</f>
        <v xml:space="preserve"> </v>
      </c>
      <c r="V91" s="32"/>
      <c r="W91" s="32"/>
      <c r="X91" s="53"/>
      <c r="Y91" s="21" t="str">
        <f>IFERROR(VLOOKUP(February[[#This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21" t="str">
        <f>IFERROR(VLOOKUP(February[[#This Row],[Drug Name4]],'Data Options'!$R$1:$S$100,2,FALSE), " ")</f>
        <v xml:space="preserve"> </v>
      </c>
      <c r="AI91" s="32"/>
      <c r="AJ91" s="32"/>
      <c r="AK91" s="53"/>
      <c r="AL91" s="21" t="str">
        <f>IFERROR(VLOOKUP(February[[#This Row],[Drug Name5]],'Data Options'!$R$1:$S$100,2,FALSE), " ")</f>
        <v xml:space="preserve"> </v>
      </c>
      <c r="AM91" s="32"/>
      <c r="AN91" s="32"/>
      <c r="AO91" s="53"/>
      <c r="AP91" s="21" t="str">
        <f>IFERROR(VLOOKUP(February[[#This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21" t="str">
        <f>IFERROR(VLOOKUP(February[[#This Row],[Drug Name7]],'Data Options'!$R$1:$S$100,2,FALSE), " ")</f>
        <v xml:space="preserve"> </v>
      </c>
      <c r="AZ91" s="32"/>
      <c r="BA91" s="32"/>
      <c r="BB91" s="53"/>
      <c r="BC91" s="21" t="str">
        <f>IFERROR(VLOOKUP(February[[#This Row],[Drug Name8]],'Data Options'!$R$1:$S$100,2,FALSE), " ")</f>
        <v xml:space="preserve"> </v>
      </c>
      <c r="BD91" s="32"/>
      <c r="BE91" s="32"/>
      <c r="BF91" s="53"/>
      <c r="BG91" s="21" t="str">
        <f>IFERROR(VLOOKUP(February[[#This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21" t="str">
        <f>IFERROR(VLOOKUP(February[[#This Row],[Drug Name]],'Data Options'!$R$1:$S$100,2,FALSE), " ")</f>
        <v xml:space="preserve"> </v>
      </c>
      <c r="R92" s="32"/>
      <c r="S92" s="32"/>
      <c r="T92" s="53"/>
      <c r="U92" s="21" t="str">
        <f>IFERROR(VLOOKUP(February[[#This Row],[Drug Name2]],'Data Options'!$R$1:$S$100,2,FALSE), " ")</f>
        <v xml:space="preserve"> </v>
      </c>
      <c r="V92" s="32"/>
      <c r="W92" s="32"/>
      <c r="X92" s="53"/>
      <c r="Y92" s="21" t="str">
        <f>IFERROR(VLOOKUP(February[[#This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21" t="str">
        <f>IFERROR(VLOOKUP(February[[#This Row],[Drug Name4]],'Data Options'!$R$1:$S$100,2,FALSE), " ")</f>
        <v xml:space="preserve"> </v>
      </c>
      <c r="AI92" s="32"/>
      <c r="AJ92" s="32"/>
      <c r="AK92" s="53"/>
      <c r="AL92" s="21" t="str">
        <f>IFERROR(VLOOKUP(February[[#This Row],[Drug Name5]],'Data Options'!$R$1:$S$100,2,FALSE), " ")</f>
        <v xml:space="preserve"> </v>
      </c>
      <c r="AM92" s="32"/>
      <c r="AN92" s="32"/>
      <c r="AO92" s="53"/>
      <c r="AP92" s="21" t="str">
        <f>IFERROR(VLOOKUP(February[[#This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21" t="str">
        <f>IFERROR(VLOOKUP(February[[#This Row],[Drug Name7]],'Data Options'!$R$1:$S$100,2,FALSE), " ")</f>
        <v xml:space="preserve"> </v>
      </c>
      <c r="AZ92" s="32"/>
      <c r="BA92" s="32"/>
      <c r="BB92" s="53"/>
      <c r="BC92" s="21" t="str">
        <f>IFERROR(VLOOKUP(February[[#This Row],[Drug Name8]],'Data Options'!$R$1:$S$100,2,FALSE), " ")</f>
        <v xml:space="preserve"> </v>
      </c>
      <c r="BD92" s="32"/>
      <c r="BE92" s="32"/>
      <c r="BF92" s="53"/>
      <c r="BG92" s="21" t="str">
        <f>IFERROR(VLOOKUP(February[[#This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21" t="str">
        <f>IFERROR(VLOOKUP(February[[#This Row],[Drug Name]],'Data Options'!$R$1:$S$100,2,FALSE), " ")</f>
        <v xml:space="preserve"> </v>
      </c>
      <c r="R93" s="32"/>
      <c r="S93" s="32"/>
      <c r="T93" s="53"/>
      <c r="U93" s="21" t="str">
        <f>IFERROR(VLOOKUP(February[[#This Row],[Drug Name2]],'Data Options'!$R$1:$S$100,2,FALSE), " ")</f>
        <v xml:space="preserve"> </v>
      </c>
      <c r="V93" s="32"/>
      <c r="W93" s="32"/>
      <c r="X93" s="53"/>
      <c r="Y93" s="21" t="str">
        <f>IFERROR(VLOOKUP(February[[#This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21" t="str">
        <f>IFERROR(VLOOKUP(February[[#This Row],[Drug Name4]],'Data Options'!$R$1:$S$100,2,FALSE), " ")</f>
        <v xml:space="preserve"> </v>
      </c>
      <c r="AI93" s="32"/>
      <c r="AJ93" s="32"/>
      <c r="AK93" s="53"/>
      <c r="AL93" s="21" t="str">
        <f>IFERROR(VLOOKUP(February[[#This Row],[Drug Name5]],'Data Options'!$R$1:$S$100,2,FALSE), " ")</f>
        <v xml:space="preserve"> </v>
      </c>
      <c r="AM93" s="32"/>
      <c r="AN93" s="32"/>
      <c r="AO93" s="53"/>
      <c r="AP93" s="21" t="str">
        <f>IFERROR(VLOOKUP(February[[#This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21" t="str">
        <f>IFERROR(VLOOKUP(February[[#This Row],[Drug Name7]],'Data Options'!$R$1:$S$100,2,FALSE), " ")</f>
        <v xml:space="preserve"> </v>
      </c>
      <c r="AZ93" s="32"/>
      <c r="BA93" s="32"/>
      <c r="BB93" s="53"/>
      <c r="BC93" s="21" t="str">
        <f>IFERROR(VLOOKUP(February[[#This Row],[Drug Name8]],'Data Options'!$R$1:$S$100,2,FALSE), " ")</f>
        <v xml:space="preserve"> </v>
      </c>
      <c r="BD93" s="32"/>
      <c r="BE93" s="32"/>
      <c r="BF93" s="53"/>
      <c r="BG93" s="21" t="str">
        <f>IFERROR(VLOOKUP(February[[#This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21" t="str">
        <f>IFERROR(VLOOKUP(February[[#This Row],[Drug Name]],'Data Options'!$R$1:$S$100,2,FALSE), " ")</f>
        <v xml:space="preserve"> </v>
      </c>
      <c r="R94" s="32"/>
      <c r="S94" s="32"/>
      <c r="T94" s="53"/>
      <c r="U94" s="21" t="str">
        <f>IFERROR(VLOOKUP(February[[#This Row],[Drug Name2]],'Data Options'!$R$1:$S$100,2,FALSE), " ")</f>
        <v xml:space="preserve"> </v>
      </c>
      <c r="V94" s="32"/>
      <c r="W94" s="32"/>
      <c r="X94" s="53"/>
      <c r="Y94" s="21" t="str">
        <f>IFERROR(VLOOKUP(February[[#This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21" t="str">
        <f>IFERROR(VLOOKUP(February[[#This Row],[Drug Name4]],'Data Options'!$R$1:$S$100,2,FALSE), " ")</f>
        <v xml:space="preserve"> </v>
      </c>
      <c r="AI94" s="32"/>
      <c r="AJ94" s="32"/>
      <c r="AK94" s="53"/>
      <c r="AL94" s="21" t="str">
        <f>IFERROR(VLOOKUP(February[[#This Row],[Drug Name5]],'Data Options'!$R$1:$S$100,2,FALSE), " ")</f>
        <v xml:space="preserve"> </v>
      </c>
      <c r="AM94" s="32"/>
      <c r="AN94" s="32"/>
      <c r="AO94" s="53"/>
      <c r="AP94" s="21" t="str">
        <f>IFERROR(VLOOKUP(February[[#This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21" t="str">
        <f>IFERROR(VLOOKUP(February[[#This Row],[Drug Name7]],'Data Options'!$R$1:$S$100,2,FALSE), " ")</f>
        <v xml:space="preserve"> </v>
      </c>
      <c r="AZ94" s="32"/>
      <c r="BA94" s="32"/>
      <c r="BB94" s="53"/>
      <c r="BC94" s="21" t="str">
        <f>IFERROR(VLOOKUP(February[[#This Row],[Drug Name8]],'Data Options'!$R$1:$S$100,2,FALSE), " ")</f>
        <v xml:space="preserve"> </v>
      </c>
      <c r="BD94" s="32"/>
      <c r="BE94" s="32"/>
      <c r="BF94" s="53"/>
      <c r="BG94" s="21" t="str">
        <f>IFERROR(VLOOKUP(February[[#This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21" t="str">
        <f>IFERROR(VLOOKUP(February[[#This Row],[Drug Name]],'Data Options'!$R$1:$S$100,2,FALSE), " ")</f>
        <v xml:space="preserve"> </v>
      </c>
      <c r="R95" s="32"/>
      <c r="S95" s="32"/>
      <c r="T95" s="53"/>
      <c r="U95" s="21" t="str">
        <f>IFERROR(VLOOKUP(February[[#This Row],[Drug Name2]],'Data Options'!$R$1:$S$100,2,FALSE), " ")</f>
        <v xml:space="preserve"> </v>
      </c>
      <c r="V95" s="32"/>
      <c r="W95" s="32"/>
      <c r="X95" s="53"/>
      <c r="Y95" s="21" t="str">
        <f>IFERROR(VLOOKUP(February[[#This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21" t="str">
        <f>IFERROR(VLOOKUP(February[[#This Row],[Drug Name4]],'Data Options'!$R$1:$S$100,2,FALSE), " ")</f>
        <v xml:space="preserve"> </v>
      </c>
      <c r="AI95" s="32"/>
      <c r="AJ95" s="32"/>
      <c r="AK95" s="53"/>
      <c r="AL95" s="21" t="str">
        <f>IFERROR(VLOOKUP(February[[#This Row],[Drug Name5]],'Data Options'!$R$1:$S$100,2,FALSE), " ")</f>
        <v xml:space="preserve"> </v>
      </c>
      <c r="AM95" s="32"/>
      <c r="AN95" s="32"/>
      <c r="AO95" s="53"/>
      <c r="AP95" s="21" t="str">
        <f>IFERROR(VLOOKUP(February[[#This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21" t="str">
        <f>IFERROR(VLOOKUP(February[[#This Row],[Drug Name7]],'Data Options'!$R$1:$S$100,2,FALSE), " ")</f>
        <v xml:space="preserve"> </v>
      </c>
      <c r="AZ95" s="32"/>
      <c r="BA95" s="32"/>
      <c r="BB95" s="53"/>
      <c r="BC95" s="21" t="str">
        <f>IFERROR(VLOOKUP(February[[#This Row],[Drug Name8]],'Data Options'!$R$1:$S$100,2,FALSE), " ")</f>
        <v xml:space="preserve"> </v>
      </c>
      <c r="BD95" s="32"/>
      <c r="BE95" s="32"/>
      <c r="BF95" s="53"/>
      <c r="BG95" s="21" t="str">
        <f>IFERROR(VLOOKUP(February[[#This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21" t="str">
        <f>IFERROR(VLOOKUP(February[[#This Row],[Drug Name]],'Data Options'!$R$1:$S$100,2,FALSE), " ")</f>
        <v xml:space="preserve"> </v>
      </c>
      <c r="R96" s="32"/>
      <c r="S96" s="32"/>
      <c r="T96" s="53"/>
      <c r="U96" s="21" t="str">
        <f>IFERROR(VLOOKUP(February[[#This Row],[Drug Name2]],'Data Options'!$R$1:$S$100,2,FALSE), " ")</f>
        <v xml:space="preserve"> </v>
      </c>
      <c r="V96" s="32"/>
      <c r="W96" s="32"/>
      <c r="X96" s="53"/>
      <c r="Y96" s="21" t="str">
        <f>IFERROR(VLOOKUP(February[[#This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21" t="str">
        <f>IFERROR(VLOOKUP(February[[#This Row],[Drug Name4]],'Data Options'!$R$1:$S$100,2,FALSE), " ")</f>
        <v xml:space="preserve"> </v>
      </c>
      <c r="AI96" s="32"/>
      <c r="AJ96" s="32"/>
      <c r="AK96" s="53"/>
      <c r="AL96" s="21" t="str">
        <f>IFERROR(VLOOKUP(February[[#This Row],[Drug Name5]],'Data Options'!$R$1:$S$100,2,FALSE), " ")</f>
        <v xml:space="preserve"> </v>
      </c>
      <c r="AM96" s="32"/>
      <c r="AN96" s="32"/>
      <c r="AO96" s="53"/>
      <c r="AP96" s="21" t="str">
        <f>IFERROR(VLOOKUP(February[[#This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21" t="str">
        <f>IFERROR(VLOOKUP(February[[#This Row],[Drug Name7]],'Data Options'!$R$1:$S$100,2,FALSE), " ")</f>
        <v xml:space="preserve"> </v>
      </c>
      <c r="AZ96" s="32"/>
      <c r="BA96" s="32"/>
      <c r="BB96" s="53"/>
      <c r="BC96" s="21" t="str">
        <f>IFERROR(VLOOKUP(February[[#This Row],[Drug Name8]],'Data Options'!$R$1:$S$100,2,FALSE), " ")</f>
        <v xml:space="preserve"> </v>
      </c>
      <c r="BD96" s="32"/>
      <c r="BE96" s="32"/>
      <c r="BF96" s="53"/>
      <c r="BG96" s="21" t="str">
        <f>IFERROR(VLOOKUP(February[[#This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21" t="str">
        <f>IFERROR(VLOOKUP(February[[#This Row],[Drug Name]],'Data Options'!$R$1:$S$100,2,FALSE), " ")</f>
        <v xml:space="preserve"> </v>
      </c>
      <c r="R97" s="32"/>
      <c r="S97" s="32"/>
      <c r="T97" s="53"/>
      <c r="U97" s="21" t="str">
        <f>IFERROR(VLOOKUP(February[[#This Row],[Drug Name2]],'Data Options'!$R$1:$S$100,2,FALSE), " ")</f>
        <v xml:space="preserve"> </v>
      </c>
      <c r="V97" s="32"/>
      <c r="W97" s="32"/>
      <c r="X97" s="53"/>
      <c r="Y97" s="21" t="str">
        <f>IFERROR(VLOOKUP(February[[#This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21" t="str">
        <f>IFERROR(VLOOKUP(February[[#This Row],[Drug Name4]],'Data Options'!$R$1:$S$100,2,FALSE), " ")</f>
        <v xml:space="preserve"> </v>
      </c>
      <c r="AI97" s="32"/>
      <c r="AJ97" s="32"/>
      <c r="AK97" s="53"/>
      <c r="AL97" s="21" t="str">
        <f>IFERROR(VLOOKUP(February[[#This Row],[Drug Name5]],'Data Options'!$R$1:$S$100,2,FALSE), " ")</f>
        <v xml:space="preserve"> </v>
      </c>
      <c r="AM97" s="32"/>
      <c r="AN97" s="32"/>
      <c r="AO97" s="53"/>
      <c r="AP97" s="21" t="str">
        <f>IFERROR(VLOOKUP(February[[#This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21" t="str">
        <f>IFERROR(VLOOKUP(February[[#This Row],[Drug Name7]],'Data Options'!$R$1:$S$100,2,FALSE), " ")</f>
        <v xml:space="preserve"> </v>
      </c>
      <c r="AZ97" s="32"/>
      <c r="BA97" s="32"/>
      <c r="BB97" s="53"/>
      <c r="BC97" s="21" t="str">
        <f>IFERROR(VLOOKUP(February[[#This Row],[Drug Name8]],'Data Options'!$R$1:$S$100,2,FALSE), " ")</f>
        <v xml:space="preserve"> </v>
      </c>
      <c r="BD97" s="32"/>
      <c r="BE97" s="32"/>
      <c r="BF97" s="53"/>
      <c r="BG97" s="21" t="str">
        <f>IFERROR(VLOOKUP(February[[#This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21" t="str">
        <f>IFERROR(VLOOKUP(February[[#This Row],[Drug Name]],'Data Options'!$R$1:$S$100,2,FALSE), " ")</f>
        <v xml:space="preserve"> </v>
      </c>
      <c r="R98" s="32"/>
      <c r="S98" s="32"/>
      <c r="T98" s="53"/>
      <c r="U98" s="21" t="str">
        <f>IFERROR(VLOOKUP(February[[#This Row],[Drug Name2]],'Data Options'!$R$1:$S$100,2,FALSE), " ")</f>
        <v xml:space="preserve"> </v>
      </c>
      <c r="V98" s="32"/>
      <c r="W98" s="32"/>
      <c r="X98" s="53"/>
      <c r="Y98" s="21" t="str">
        <f>IFERROR(VLOOKUP(February[[#This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21" t="str">
        <f>IFERROR(VLOOKUP(February[[#This Row],[Drug Name4]],'Data Options'!$R$1:$S$100,2,FALSE), " ")</f>
        <v xml:space="preserve"> </v>
      </c>
      <c r="AI98" s="32"/>
      <c r="AJ98" s="32"/>
      <c r="AK98" s="53"/>
      <c r="AL98" s="21" t="str">
        <f>IFERROR(VLOOKUP(February[[#This Row],[Drug Name5]],'Data Options'!$R$1:$S$100,2,FALSE), " ")</f>
        <v xml:space="preserve"> </v>
      </c>
      <c r="AM98" s="32"/>
      <c r="AN98" s="32"/>
      <c r="AO98" s="53"/>
      <c r="AP98" s="21" t="str">
        <f>IFERROR(VLOOKUP(February[[#This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21" t="str">
        <f>IFERROR(VLOOKUP(February[[#This Row],[Drug Name7]],'Data Options'!$R$1:$S$100,2,FALSE), " ")</f>
        <v xml:space="preserve"> </v>
      </c>
      <c r="AZ98" s="32"/>
      <c r="BA98" s="32"/>
      <c r="BB98" s="53"/>
      <c r="BC98" s="21" t="str">
        <f>IFERROR(VLOOKUP(February[[#This Row],[Drug Name8]],'Data Options'!$R$1:$S$100,2,FALSE), " ")</f>
        <v xml:space="preserve"> </v>
      </c>
      <c r="BD98" s="32"/>
      <c r="BE98" s="32"/>
      <c r="BF98" s="53"/>
      <c r="BG98" s="21" t="str">
        <f>IFERROR(VLOOKUP(February[[#This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21" t="str">
        <f>IFERROR(VLOOKUP(February[[#This Row],[Drug Name]],'Data Options'!$R$1:$S$100,2,FALSE), " ")</f>
        <v xml:space="preserve"> </v>
      </c>
      <c r="R99" s="32"/>
      <c r="S99" s="32"/>
      <c r="T99" s="53"/>
      <c r="U99" s="21" t="str">
        <f>IFERROR(VLOOKUP(February[[#This Row],[Drug Name2]],'Data Options'!$R$1:$S$100,2,FALSE), " ")</f>
        <v xml:space="preserve"> </v>
      </c>
      <c r="V99" s="32"/>
      <c r="W99" s="32"/>
      <c r="X99" s="53"/>
      <c r="Y99" s="21" t="str">
        <f>IFERROR(VLOOKUP(February[[#This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21" t="str">
        <f>IFERROR(VLOOKUP(February[[#This Row],[Drug Name4]],'Data Options'!$R$1:$S$100,2,FALSE), " ")</f>
        <v xml:space="preserve"> </v>
      </c>
      <c r="AI99" s="32"/>
      <c r="AJ99" s="32"/>
      <c r="AK99" s="53"/>
      <c r="AL99" s="21" t="str">
        <f>IFERROR(VLOOKUP(February[[#This Row],[Drug Name5]],'Data Options'!$R$1:$S$100,2,FALSE), " ")</f>
        <v xml:space="preserve"> </v>
      </c>
      <c r="AM99" s="32"/>
      <c r="AN99" s="32"/>
      <c r="AO99" s="53"/>
      <c r="AP99" s="21" t="str">
        <f>IFERROR(VLOOKUP(February[[#This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21" t="str">
        <f>IFERROR(VLOOKUP(February[[#This Row],[Drug Name7]],'Data Options'!$R$1:$S$100,2,FALSE), " ")</f>
        <v xml:space="preserve"> </v>
      </c>
      <c r="AZ99" s="32"/>
      <c r="BA99" s="32"/>
      <c r="BB99" s="53"/>
      <c r="BC99" s="21" t="str">
        <f>IFERROR(VLOOKUP(February[[#This Row],[Drug Name8]],'Data Options'!$R$1:$S$100,2,FALSE), " ")</f>
        <v xml:space="preserve"> </v>
      </c>
      <c r="BD99" s="32"/>
      <c r="BE99" s="32"/>
      <c r="BF99" s="53"/>
      <c r="BG99" s="21" t="str">
        <f>IFERROR(VLOOKUP(February[[#This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21" t="str">
        <f>IFERROR(VLOOKUP(February[[#This Row],[Drug Name]],'Data Options'!$R$1:$S$100,2,FALSE), " ")</f>
        <v xml:space="preserve"> </v>
      </c>
      <c r="R100" s="32"/>
      <c r="S100" s="32"/>
      <c r="T100" s="53"/>
      <c r="U100" s="21" t="str">
        <f>IFERROR(VLOOKUP(February[[#This Row],[Drug Name2]],'Data Options'!$R$1:$S$100,2,FALSE), " ")</f>
        <v xml:space="preserve"> </v>
      </c>
      <c r="V100" s="32"/>
      <c r="W100" s="32"/>
      <c r="X100" s="53"/>
      <c r="Y100" s="21" t="str">
        <f>IFERROR(VLOOKUP(February[[#This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21" t="str">
        <f>IFERROR(VLOOKUP(February[[#This Row],[Drug Name4]],'Data Options'!$R$1:$S$100,2,FALSE), " ")</f>
        <v xml:space="preserve"> </v>
      </c>
      <c r="AI100" s="32"/>
      <c r="AJ100" s="32"/>
      <c r="AK100" s="53"/>
      <c r="AL100" s="21" t="str">
        <f>IFERROR(VLOOKUP(February[[#This Row],[Drug Name5]],'Data Options'!$R$1:$S$100,2,FALSE), " ")</f>
        <v xml:space="preserve"> </v>
      </c>
      <c r="AM100" s="32"/>
      <c r="AN100" s="32"/>
      <c r="AO100" s="53"/>
      <c r="AP100" s="21" t="str">
        <f>IFERROR(VLOOKUP(February[[#This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21" t="str">
        <f>IFERROR(VLOOKUP(February[[#This Row],[Drug Name7]],'Data Options'!$R$1:$S$100,2,FALSE), " ")</f>
        <v xml:space="preserve"> </v>
      </c>
      <c r="AZ100" s="32"/>
      <c r="BA100" s="32"/>
      <c r="BB100" s="53"/>
      <c r="BC100" s="21" t="str">
        <f>IFERROR(VLOOKUP(February[[#This Row],[Drug Name8]],'Data Options'!$R$1:$S$100,2,FALSE), " ")</f>
        <v xml:space="preserve"> </v>
      </c>
      <c r="BD100" s="32"/>
      <c r="BE100" s="32"/>
      <c r="BF100" s="53"/>
      <c r="BG100" s="21" t="str">
        <f>IFERROR(VLOOKUP(February[[#This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21" t="str">
        <f>IFERROR(VLOOKUP(February[[#This Row],[Drug Name]],'Data Options'!$R$1:$S$100,2,FALSE), " ")</f>
        <v xml:space="preserve"> </v>
      </c>
      <c r="R101" s="32"/>
      <c r="S101" s="32"/>
      <c r="T101" s="53"/>
      <c r="U101" s="21" t="str">
        <f>IFERROR(VLOOKUP(February[[#This Row],[Drug Name2]],'Data Options'!$R$1:$S$100,2,FALSE), " ")</f>
        <v xml:space="preserve"> </v>
      </c>
      <c r="V101" s="32"/>
      <c r="W101" s="32"/>
      <c r="X101" s="53"/>
      <c r="Y101" s="21" t="str">
        <f>IFERROR(VLOOKUP(February[[#This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21" t="str">
        <f>IFERROR(VLOOKUP(February[[#This Row],[Drug Name4]],'Data Options'!$R$1:$S$100,2,FALSE), " ")</f>
        <v xml:space="preserve"> </v>
      </c>
      <c r="AI101" s="32"/>
      <c r="AJ101" s="32"/>
      <c r="AK101" s="53"/>
      <c r="AL101" s="21" t="str">
        <f>IFERROR(VLOOKUP(February[[#This Row],[Drug Name5]],'Data Options'!$R$1:$S$100,2,FALSE), " ")</f>
        <v xml:space="preserve"> </v>
      </c>
      <c r="AM101" s="32"/>
      <c r="AN101" s="32"/>
      <c r="AO101" s="53"/>
      <c r="AP101" s="21" t="str">
        <f>IFERROR(VLOOKUP(February[[#This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21" t="str">
        <f>IFERROR(VLOOKUP(February[[#This Row],[Drug Name7]],'Data Options'!$R$1:$S$100,2,FALSE), " ")</f>
        <v xml:space="preserve"> </v>
      </c>
      <c r="AZ101" s="32"/>
      <c r="BA101" s="32"/>
      <c r="BB101" s="53"/>
      <c r="BC101" s="21" t="str">
        <f>IFERROR(VLOOKUP(February[[#This Row],[Drug Name8]],'Data Options'!$R$1:$S$100,2,FALSE), " ")</f>
        <v xml:space="preserve"> </v>
      </c>
      <c r="BD101" s="32"/>
      <c r="BE101" s="32"/>
      <c r="BF101" s="53"/>
      <c r="BG101" s="21" t="str">
        <f>IFERROR(VLOOKUP(February[[#This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21" t="str">
        <f>IFERROR(VLOOKUP(February[[#This Row],[Drug Name]],'Data Options'!$R$1:$S$100,2,FALSE), " ")</f>
        <v xml:space="preserve"> </v>
      </c>
      <c r="R102" s="32"/>
      <c r="S102" s="32"/>
      <c r="T102" s="53"/>
      <c r="U102" s="21" t="str">
        <f>IFERROR(VLOOKUP(February[[#This Row],[Drug Name2]],'Data Options'!$R$1:$S$100,2,FALSE), " ")</f>
        <v xml:space="preserve"> </v>
      </c>
      <c r="V102" s="32"/>
      <c r="W102" s="32"/>
      <c r="X102" s="53"/>
      <c r="Y102" s="21" t="str">
        <f>IFERROR(VLOOKUP(February[[#This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21" t="str">
        <f>IFERROR(VLOOKUP(February[[#This Row],[Drug Name4]],'Data Options'!$R$1:$S$100,2,FALSE), " ")</f>
        <v xml:space="preserve"> </v>
      </c>
      <c r="AI102" s="32"/>
      <c r="AJ102" s="32"/>
      <c r="AK102" s="53"/>
      <c r="AL102" s="21" t="str">
        <f>IFERROR(VLOOKUP(February[[#This Row],[Drug Name5]],'Data Options'!$R$1:$S$100,2,FALSE), " ")</f>
        <v xml:space="preserve"> </v>
      </c>
      <c r="AM102" s="32"/>
      <c r="AN102" s="32"/>
      <c r="AO102" s="53"/>
      <c r="AP102" s="21" t="str">
        <f>IFERROR(VLOOKUP(February[[#This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21" t="str">
        <f>IFERROR(VLOOKUP(February[[#This Row],[Drug Name7]],'Data Options'!$R$1:$S$100,2,FALSE), " ")</f>
        <v xml:space="preserve"> </v>
      </c>
      <c r="AZ102" s="32"/>
      <c r="BA102" s="32"/>
      <c r="BB102" s="53"/>
      <c r="BC102" s="21" t="str">
        <f>IFERROR(VLOOKUP(February[[#This Row],[Drug Name8]],'Data Options'!$R$1:$S$100,2,FALSE), " ")</f>
        <v xml:space="preserve"> </v>
      </c>
      <c r="BD102" s="32"/>
      <c r="BE102" s="32"/>
      <c r="BF102" s="53"/>
      <c r="BG102" s="21" t="str">
        <f>IFERROR(VLOOKUP(February[[#This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21" t="str">
        <f>IFERROR(VLOOKUP(February[[#This Row],[Drug Name]],'Data Options'!$R$1:$S$100,2,FALSE), " ")</f>
        <v xml:space="preserve"> </v>
      </c>
      <c r="R103" s="32"/>
      <c r="S103" s="32"/>
      <c r="T103" s="53"/>
      <c r="U103" s="21" t="str">
        <f>IFERROR(VLOOKUP(February[[#This Row],[Drug Name2]],'Data Options'!$R$1:$S$100,2,FALSE), " ")</f>
        <v xml:space="preserve"> </v>
      </c>
      <c r="V103" s="32"/>
      <c r="W103" s="32"/>
      <c r="X103" s="53"/>
      <c r="Y103" s="21" t="str">
        <f>IFERROR(VLOOKUP(February[[#This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21" t="str">
        <f>IFERROR(VLOOKUP(February[[#This Row],[Drug Name4]],'Data Options'!$R$1:$S$100,2,FALSE), " ")</f>
        <v xml:space="preserve"> </v>
      </c>
      <c r="AI103" s="32"/>
      <c r="AJ103" s="32"/>
      <c r="AK103" s="53"/>
      <c r="AL103" s="21" t="str">
        <f>IFERROR(VLOOKUP(February[[#This Row],[Drug Name5]],'Data Options'!$R$1:$S$100,2,FALSE), " ")</f>
        <v xml:space="preserve"> </v>
      </c>
      <c r="AM103" s="32"/>
      <c r="AN103" s="32"/>
      <c r="AO103" s="53"/>
      <c r="AP103" s="21" t="str">
        <f>IFERROR(VLOOKUP(February[[#This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21" t="str">
        <f>IFERROR(VLOOKUP(February[[#This Row],[Drug Name7]],'Data Options'!$R$1:$S$100,2,FALSE), " ")</f>
        <v xml:space="preserve"> </v>
      </c>
      <c r="AZ103" s="32"/>
      <c r="BA103" s="32"/>
      <c r="BB103" s="53"/>
      <c r="BC103" s="21" t="str">
        <f>IFERROR(VLOOKUP(February[[#This Row],[Drug Name8]],'Data Options'!$R$1:$S$100,2,FALSE), " ")</f>
        <v xml:space="preserve"> </v>
      </c>
      <c r="BD103" s="32"/>
      <c r="BE103" s="32"/>
      <c r="BF103" s="53"/>
      <c r="BG103" s="21" t="str">
        <f>IFERROR(VLOOKUP(February[[#This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21" t="str">
        <f>IFERROR(VLOOKUP(February[[#This Row],[Drug Name]],'Data Options'!$R$1:$S$100,2,FALSE), " ")</f>
        <v xml:space="preserve"> </v>
      </c>
      <c r="R104" s="32"/>
      <c r="S104" s="32"/>
      <c r="T104" s="53"/>
      <c r="U104" s="21" t="str">
        <f>IFERROR(VLOOKUP(February[[#This Row],[Drug Name2]],'Data Options'!$R$1:$S$100,2,FALSE), " ")</f>
        <v xml:space="preserve"> </v>
      </c>
      <c r="V104" s="32"/>
      <c r="W104" s="32"/>
      <c r="X104" s="53"/>
      <c r="Y104" s="21" t="str">
        <f>IFERROR(VLOOKUP(February[[#This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21" t="str">
        <f>IFERROR(VLOOKUP(February[[#This Row],[Drug Name4]],'Data Options'!$R$1:$S$100,2,FALSE), " ")</f>
        <v xml:space="preserve"> </v>
      </c>
      <c r="AI104" s="32"/>
      <c r="AJ104" s="32"/>
      <c r="AK104" s="53"/>
      <c r="AL104" s="21" t="str">
        <f>IFERROR(VLOOKUP(February[[#This Row],[Drug Name5]],'Data Options'!$R$1:$S$100,2,FALSE), " ")</f>
        <v xml:space="preserve"> </v>
      </c>
      <c r="AM104" s="32"/>
      <c r="AN104" s="32"/>
      <c r="AO104" s="53"/>
      <c r="AP104" s="21" t="str">
        <f>IFERROR(VLOOKUP(February[[#This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21" t="str">
        <f>IFERROR(VLOOKUP(February[[#This Row],[Drug Name7]],'Data Options'!$R$1:$S$100,2,FALSE), " ")</f>
        <v xml:space="preserve"> </v>
      </c>
      <c r="AZ104" s="32"/>
      <c r="BA104" s="32"/>
      <c r="BB104" s="53"/>
      <c r="BC104" s="21" t="str">
        <f>IFERROR(VLOOKUP(February[[#This Row],[Drug Name8]],'Data Options'!$R$1:$S$100,2,FALSE), " ")</f>
        <v xml:space="preserve"> </v>
      </c>
      <c r="BD104" s="32"/>
      <c r="BE104" s="32"/>
      <c r="BF104" s="53"/>
      <c r="BG104" s="21" t="str">
        <f>IFERROR(VLOOKUP(February[[#This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21" t="str">
        <f>IFERROR(VLOOKUP(February[[#This Row],[Drug Name]],'Data Options'!$R$1:$S$100,2,FALSE), " ")</f>
        <v xml:space="preserve"> </v>
      </c>
      <c r="R105" s="32"/>
      <c r="S105" s="32"/>
      <c r="T105" s="53"/>
      <c r="U105" s="21" t="str">
        <f>IFERROR(VLOOKUP(February[[#This Row],[Drug Name2]],'Data Options'!$R$1:$S$100,2,FALSE), " ")</f>
        <v xml:space="preserve"> </v>
      </c>
      <c r="V105" s="32"/>
      <c r="W105" s="32"/>
      <c r="X105" s="53"/>
      <c r="Y105" s="21" t="str">
        <f>IFERROR(VLOOKUP(February[[#This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21" t="str">
        <f>IFERROR(VLOOKUP(February[[#This Row],[Drug Name4]],'Data Options'!$R$1:$S$100,2,FALSE), " ")</f>
        <v xml:space="preserve"> </v>
      </c>
      <c r="AI105" s="32"/>
      <c r="AJ105" s="32"/>
      <c r="AK105" s="53"/>
      <c r="AL105" s="21" t="str">
        <f>IFERROR(VLOOKUP(February[[#This Row],[Drug Name5]],'Data Options'!$R$1:$S$100,2,FALSE), " ")</f>
        <v xml:space="preserve"> </v>
      </c>
      <c r="AM105" s="32"/>
      <c r="AN105" s="32"/>
      <c r="AO105" s="53"/>
      <c r="AP105" s="21" t="str">
        <f>IFERROR(VLOOKUP(February[[#This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21" t="str">
        <f>IFERROR(VLOOKUP(February[[#This Row],[Drug Name7]],'Data Options'!$R$1:$S$100,2,FALSE), " ")</f>
        <v xml:space="preserve"> </v>
      </c>
      <c r="AZ105" s="32"/>
      <c r="BA105" s="32"/>
      <c r="BB105" s="53"/>
      <c r="BC105" s="21" t="str">
        <f>IFERROR(VLOOKUP(February[[#This Row],[Drug Name8]],'Data Options'!$R$1:$S$100,2,FALSE), " ")</f>
        <v xml:space="preserve"> </v>
      </c>
      <c r="BD105" s="32"/>
      <c r="BE105" s="32"/>
      <c r="BF105" s="53"/>
      <c r="BG105" s="21" t="str">
        <f>IFERROR(VLOOKUP(February[[#This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21" t="str">
        <f>IFERROR(VLOOKUP(February[[#This Row],[Drug Name]],'Data Options'!$R$1:$S$100,2,FALSE), " ")</f>
        <v xml:space="preserve"> </v>
      </c>
      <c r="R106" s="32"/>
      <c r="S106" s="32"/>
      <c r="T106" s="53"/>
      <c r="U106" s="21" t="str">
        <f>IFERROR(VLOOKUP(February[[#This Row],[Drug Name2]],'Data Options'!$R$1:$S$100,2,FALSE), " ")</f>
        <v xml:space="preserve"> </v>
      </c>
      <c r="V106" s="32"/>
      <c r="W106" s="32"/>
      <c r="X106" s="53"/>
      <c r="Y106" s="21" t="str">
        <f>IFERROR(VLOOKUP(February[[#This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21" t="str">
        <f>IFERROR(VLOOKUP(February[[#This Row],[Drug Name4]],'Data Options'!$R$1:$S$100,2,FALSE), " ")</f>
        <v xml:space="preserve"> </v>
      </c>
      <c r="AI106" s="32"/>
      <c r="AJ106" s="32"/>
      <c r="AK106" s="53"/>
      <c r="AL106" s="21" t="str">
        <f>IFERROR(VLOOKUP(February[[#This Row],[Drug Name5]],'Data Options'!$R$1:$S$100,2,FALSE), " ")</f>
        <v xml:space="preserve"> </v>
      </c>
      <c r="AM106" s="32"/>
      <c r="AN106" s="32"/>
      <c r="AO106" s="53"/>
      <c r="AP106" s="21" t="str">
        <f>IFERROR(VLOOKUP(February[[#This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21" t="str">
        <f>IFERROR(VLOOKUP(February[[#This Row],[Drug Name7]],'Data Options'!$R$1:$S$100,2,FALSE), " ")</f>
        <v xml:space="preserve"> </v>
      </c>
      <c r="AZ106" s="32"/>
      <c r="BA106" s="32"/>
      <c r="BB106" s="53"/>
      <c r="BC106" s="21" t="str">
        <f>IFERROR(VLOOKUP(February[[#This Row],[Drug Name8]],'Data Options'!$R$1:$S$100,2,FALSE), " ")</f>
        <v xml:space="preserve"> </v>
      </c>
      <c r="BD106" s="32"/>
      <c r="BE106" s="32"/>
      <c r="BF106" s="53"/>
      <c r="BG106" s="21" t="str">
        <f>IFERROR(VLOOKUP(February[[#This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21" t="str">
        <f>IFERROR(VLOOKUP(February[[#This Row],[Drug Name]],'Data Options'!$R$1:$S$100,2,FALSE), " ")</f>
        <v xml:space="preserve"> </v>
      </c>
      <c r="R107" s="32"/>
      <c r="S107" s="32"/>
      <c r="T107" s="53"/>
      <c r="U107" s="21" t="str">
        <f>IFERROR(VLOOKUP(February[[#This Row],[Drug Name2]],'Data Options'!$R$1:$S$100,2,FALSE), " ")</f>
        <v xml:space="preserve"> </v>
      </c>
      <c r="V107" s="32"/>
      <c r="W107" s="32"/>
      <c r="X107" s="53"/>
      <c r="Y107" s="21" t="str">
        <f>IFERROR(VLOOKUP(February[[#This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21" t="str">
        <f>IFERROR(VLOOKUP(February[[#This Row],[Drug Name4]],'Data Options'!$R$1:$S$100,2,FALSE), " ")</f>
        <v xml:space="preserve"> </v>
      </c>
      <c r="AI107" s="32"/>
      <c r="AJ107" s="32"/>
      <c r="AK107" s="53"/>
      <c r="AL107" s="21" t="str">
        <f>IFERROR(VLOOKUP(February[[#This Row],[Drug Name5]],'Data Options'!$R$1:$S$100,2,FALSE), " ")</f>
        <v xml:space="preserve"> </v>
      </c>
      <c r="AM107" s="32"/>
      <c r="AN107" s="32"/>
      <c r="AO107" s="53"/>
      <c r="AP107" s="21" t="str">
        <f>IFERROR(VLOOKUP(February[[#This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21" t="str">
        <f>IFERROR(VLOOKUP(February[[#This Row],[Drug Name7]],'Data Options'!$R$1:$S$100,2,FALSE), " ")</f>
        <v xml:space="preserve"> </v>
      </c>
      <c r="AZ107" s="32"/>
      <c r="BA107" s="32"/>
      <c r="BB107" s="53"/>
      <c r="BC107" s="21" t="str">
        <f>IFERROR(VLOOKUP(February[[#This Row],[Drug Name8]],'Data Options'!$R$1:$S$100,2,FALSE), " ")</f>
        <v xml:space="preserve"> </v>
      </c>
      <c r="BD107" s="32"/>
      <c r="BE107" s="32"/>
      <c r="BF107" s="53"/>
      <c r="BG107" s="21" t="str">
        <f>IFERROR(VLOOKUP(February[[#This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21" t="str">
        <f>IFERROR(VLOOKUP(February[[#This Row],[Drug Name]],'Data Options'!$R$1:$S$100,2,FALSE), " ")</f>
        <v xml:space="preserve"> </v>
      </c>
      <c r="R108" s="32"/>
      <c r="S108" s="32"/>
      <c r="T108" s="53"/>
      <c r="U108" s="21" t="str">
        <f>IFERROR(VLOOKUP(February[[#This Row],[Drug Name2]],'Data Options'!$R$1:$S$100,2,FALSE), " ")</f>
        <v xml:space="preserve"> </v>
      </c>
      <c r="V108" s="32"/>
      <c r="W108" s="32"/>
      <c r="X108" s="53"/>
      <c r="Y108" s="21" t="str">
        <f>IFERROR(VLOOKUP(February[[#This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21" t="str">
        <f>IFERROR(VLOOKUP(February[[#This Row],[Drug Name4]],'Data Options'!$R$1:$S$100,2,FALSE), " ")</f>
        <v xml:space="preserve"> </v>
      </c>
      <c r="AI108" s="32"/>
      <c r="AJ108" s="32"/>
      <c r="AK108" s="53"/>
      <c r="AL108" s="21" t="str">
        <f>IFERROR(VLOOKUP(February[[#This Row],[Drug Name5]],'Data Options'!$R$1:$S$100,2,FALSE), " ")</f>
        <v xml:space="preserve"> </v>
      </c>
      <c r="AM108" s="32"/>
      <c r="AN108" s="32"/>
      <c r="AO108" s="53"/>
      <c r="AP108" s="21" t="str">
        <f>IFERROR(VLOOKUP(February[[#This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21" t="str">
        <f>IFERROR(VLOOKUP(February[[#This Row],[Drug Name7]],'Data Options'!$R$1:$S$100,2,FALSE), " ")</f>
        <v xml:space="preserve"> </v>
      </c>
      <c r="AZ108" s="32"/>
      <c r="BA108" s="32"/>
      <c r="BB108" s="53"/>
      <c r="BC108" s="21" t="str">
        <f>IFERROR(VLOOKUP(February[[#This Row],[Drug Name8]],'Data Options'!$R$1:$S$100,2,FALSE), " ")</f>
        <v xml:space="preserve"> </v>
      </c>
      <c r="BD108" s="32"/>
      <c r="BE108" s="32"/>
      <c r="BF108" s="53"/>
      <c r="BG108" s="21" t="str">
        <f>IFERROR(VLOOKUP(February[[#This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21" t="str">
        <f>IFERROR(VLOOKUP(February[[#This Row],[Drug Name]],'Data Options'!$R$1:$S$100,2,FALSE), " ")</f>
        <v xml:space="preserve"> </v>
      </c>
      <c r="R109" s="32"/>
      <c r="S109" s="32"/>
      <c r="T109" s="53"/>
      <c r="U109" s="21" t="str">
        <f>IFERROR(VLOOKUP(February[[#This Row],[Drug Name2]],'Data Options'!$R$1:$S$100,2,FALSE), " ")</f>
        <v xml:space="preserve"> </v>
      </c>
      <c r="V109" s="32"/>
      <c r="W109" s="32"/>
      <c r="X109" s="53"/>
      <c r="Y109" s="21" t="str">
        <f>IFERROR(VLOOKUP(February[[#This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21" t="str">
        <f>IFERROR(VLOOKUP(February[[#This Row],[Drug Name4]],'Data Options'!$R$1:$S$100,2,FALSE), " ")</f>
        <v xml:space="preserve"> </v>
      </c>
      <c r="AI109" s="32"/>
      <c r="AJ109" s="32"/>
      <c r="AK109" s="53"/>
      <c r="AL109" s="21" t="str">
        <f>IFERROR(VLOOKUP(February[[#This Row],[Drug Name5]],'Data Options'!$R$1:$S$100,2,FALSE), " ")</f>
        <v xml:space="preserve"> </v>
      </c>
      <c r="AM109" s="32"/>
      <c r="AN109" s="32"/>
      <c r="AO109" s="53"/>
      <c r="AP109" s="21" t="str">
        <f>IFERROR(VLOOKUP(February[[#This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21" t="str">
        <f>IFERROR(VLOOKUP(February[[#This Row],[Drug Name7]],'Data Options'!$R$1:$S$100,2,FALSE), " ")</f>
        <v xml:space="preserve"> </v>
      </c>
      <c r="AZ109" s="32"/>
      <c r="BA109" s="32"/>
      <c r="BB109" s="53"/>
      <c r="BC109" s="21" t="str">
        <f>IFERROR(VLOOKUP(February[[#This Row],[Drug Name8]],'Data Options'!$R$1:$S$100,2,FALSE), " ")</f>
        <v xml:space="preserve"> </v>
      </c>
      <c r="BD109" s="32"/>
      <c r="BE109" s="32"/>
      <c r="BF109" s="53"/>
      <c r="BG109" s="21" t="str">
        <f>IFERROR(VLOOKUP(February[[#This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21" t="str">
        <f>IFERROR(VLOOKUP(February[[#This Row],[Drug Name]],'Data Options'!$R$1:$S$100,2,FALSE), " ")</f>
        <v xml:space="preserve"> </v>
      </c>
      <c r="R110" s="32"/>
      <c r="S110" s="32"/>
      <c r="T110" s="53"/>
      <c r="U110" s="21" t="str">
        <f>IFERROR(VLOOKUP(February[[#This Row],[Drug Name2]],'Data Options'!$R$1:$S$100,2,FALSE), " ")</f>
        <v xml:space="preserve"> </v>
      </c>
      <c r="V110" s="32"/>
      <c r="W110" s="32"/>
      <c r="X110" s="53"/>
      <c r="Y110" s="21" t="str">
        <f>IFERROR(VLOOKUP(February[[#This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21" t="str">
        <f>IFERROR(VLOOKUP(February[[#This Row],[Drug Name4]],'Data Options'!$R$1:$S$100,2,FALSE), " ")</f>
        <v xml:space="preserve"> </v>
      </c>
      <c r="AI110" s="32"/>
      <c r="AJ110" s="32"/>
      <c r="AK110" s="53"/>
      <c r="AL110" s="21" t="str">
        <f>IFERROR(VLOOKUP(February[[#This Row],[Drug Name5]],'Data Options'!$R$1:$S$100,2,FALSE), " ")</f>
        <v xml:space="preserve"> </v>
      </c>
      <c r="AM110" s="32"/>
      <c r="AN110" s="32"/>
      <c r="AO110" s="53"/>
      <c r="AP110" s="21" t="str">
        <f>IFERROR(VLOOKUP(February[[#This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21" t="str">
        <f>IFERROR(VLOOKUP(February[[#This Row],[Drug Name7]],'Data Options'!$R$1:$S$100,2,FALSE), " ")</f>
        <v xml:space="preserve"> </v>
      </c>
      <c r="AZ110" s="32"/>
      <c r="BA110" s="32"/>
      <c r="BB110" s="53"/>
      <c r="BC110" s="21" t="str">
        <f>IFERROR(VLOOKUP(February[[#This Row],[Drug Name8]],'Data Options'!$R$1:$S$100,2,FALSE), " ")</f>
        <v xml:space="preserve"> </v>
      </c>
      <c r="BD110" s="32"/>
      <c r="BE110" s="32"/>
      <c r="BF110" s="53"/>
      <c r="BG110" s="21" t="str">
        <f>IFERROR(VLOOKUP(February[[#This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21" t="str">
        <f>IFERROR(VLOOKUP(February[[#This Row],[Drug Name]],'Data Options'!$R$1:$S$100,2,FALSE), " ")</f>
        <v xml:space="preserve"> </v>
      </c>
      <c r="R111" s="32"/>
      <c r="S111" s="32"/>
      <c r="T111" s="53"/>
      <c r="U111" s="21" t="str">
        <f>IFERROR(VLOOKUP(February[[#This Row],[Drug Name2]],'Data Options'!$R$1:$S$100,2,FALSE), " ")</f>
        <v xml:space="preserve"> </v>
      </c>
      <c r="V111" s="32"/>
      <c r="W111" s="32"/>
      <c r="X111" s="53"/>
      <c r="Y111" s="21" t="str">
        <f>IFERROR(VLOOKUP(February[[#This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21" t="str">
        <f>IFERROR(VLOOKUP(February[[#This Row],[Drug Name4]],'Data Options'!$R$1:$S$100,2,FALSE), " ")</f>
        <v xml:space="preserve"> </v>
      </c>
      <c r="AI111" s="32"/>
      <c r="AJ111" s="32"/>
      <c r="AK111" s="53"/>
      <c r="AL111" s="21" t="str">
        <f>IFERROR(VLOOKUP(February[[#This Row],[Drug Name5]],'Data Options'!$R$1:$S$100,2,FALSE), " ")</f>
        <v xml:space="preserve"> </v>
      </c>
      <c r="AM111" s="32"/>
      <c r="AN111" s="32"/>
      <c r="AO111" s="53"/>
      <c r="AP111" s="21" t="str">
        <f>IFERROR(VLOOKUP(February[[#This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21" t="str">
        <f>IFERROR(VLOOKUP(February[[#This Row],[Drug Name7]],'Data Options'!$R$1:$S$100,2,FALSE), " ")</f>
        <v xml:space="preserve"> </v>
      </c>
      <c r="AZ111" s="32"/>
      <c r="BA111" s="32"/>
      <c r="BB111" s="53"/>
      <c r="BC111" s="21" t="str">
        <f>IFERROR(VLOOKUP(February[[#This Row],[Drug Name8]],'Data Options'!$R$1:$S$100,2,FALSE), " ")</f>
        <v xml:space="preserve"> </v>
      </c>
      <c r="BD111" s="32"/>
      <c r="BE111" s="32"/>
      <c r="BF111" s="53"/>
      <c r="BG111" s="21" t="str">
        <f>IFERROR(VLOOKUP(February[[#This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21" t="str">
        <f>IFERROR(VLOOKUP(February[[#This Row],[Drug Name]],'Data Options'!$R$1:$S$100,2,FALSE), " ")</f>
        <v xml:space="preserve"> </v>
      </c>
      <c r="R112" s="32"/>
      <c r="S112" s="32"/>
      <c r="T112" s="53"/>
      <c r="U112" s="21" t="str">
        <f>IFERROR(VLOOKUP(February[[#This Row],[Drug Name2]],'Data Options'!$R$1:$S$100,2,FALSE), " ")</f>
        <v xml:space="preserve"> </v>
      </c>
      <c r="V112" s="32"/>
      <c r="W112" s="32"/>
      <c r="X112" s="53"/>
      <c r="Y112" s="21" t="str">
        <f>IFERROR(VLOOKUP(February[[#This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21" t="str">
        <f>IFERROR(VLOOKUP(February[[#This Row],[Drug Name4]],'Data Options'!$R$1:$S$100,2,FALSE), " ")</f>
        <v xml:space="preserve"> </v>
      </c>
      <c r="AI112" s="32"/>
      <c r="AJ112" s="32"/>
      <c r="AK112" s="53"/>
      <c r="AL112" s="21" t="str">
        <f>IFERROR(VLOOKUP(February[[#This Row],[Drug Name5]],'Data Options'!$R$1:$S$100,2,FALSE), " ")</f>
        <v xml:space="preserve"> </v>
      </c>
      <c r="AM112" s="32"/>
      <c r="AN112" s="32"/>
      <c r="AO112" s="53"/>
      <c r="AP112" s="21" t="str">
        <f>IFERROR(VLOOKUP(February[[#This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21" t="str">
        <f>IFERROR(VLOOKUP(February[[#This Row],[Drug Name7]],'Data Options'!$R$1:$S$100,2,FALSE), " ")</f>
        <v xml:space="preserve"> </v>
      </c>
      <c r="AZ112" s="32"/>
      <c r="BA112" s="32"/>
      <c r="BB112" s="53"/>
      <c r="BC112" s="21" t="str">
        <f>IFERROR(VLOOKUP(February[[#This Row],[Drug Name8]],'Data Options'!$R$1:$S$100,2,FALSE), " ")</f>
        <v xml:space="preserve"> </v>
      </c>
      <c r="BD112" s="32"/>
      <c r="BE112" s="32"/>
      <c r="BF112" s="53"/>
      <c r="BG112" s="21" t="str">
        <f>IFERROR(VLOOKUP(February[[#This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21" t="str">
        <f>IFERROR(VLOOKUP(February[[#This Row],[Drug Name]],'Data Options'!$R$1:$S$100,2,FALSE), " ")</f>
        <v xml:space="preserve"> </v>
      </c>
      <c r="R113" s="32"/>
      <c r="S113" s="32"/>
      <c r="T113" s="53"/>
      <c r="U113" s="21" t="str">
        <f>IFERROR(VLOOKUP(February[[#This Row],[Drug Name2]],'Data Options'!$R$1:$S$100,2,FALSE), " ")</f>
        <v xml:space="preserve"> </v>
      </c>
      <c r="V113" s="32"/>
      <c r="W113" s="32"/>
      <c r="X113" s="53"/>
      <c r="Y113" s="21" t="str">
        <f>IFERROR(VLOOKUP(February[[#This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21" t="str">
        <f>IFERROR(VLOOKUP(February[[#This Row],[Drug Name4]],'Data Options'!$R$1:$S$100,2,FALSE), " ")</f>
        <v xml:space="preserve"> </v>
      </c>
      <c r="AI113" s="32"/>
      <c r="AJ113" s="32"/>
      <c r="AK113" s="53"/>
      <c r="AL113" s="21" t="str">
        <f>IFERROR(VLOOKUP(February[[#This Row],[Drug Name5]],'Data Options'!$R$1:$S$100,2,FALSE), " ")</f>
        <v xml:space="preserve"> </v>
      </c>
      <c r="AM113" s="32"/>
      <c r="AN113" s="32"/>
      <c r="AO113" s="53"/>
      <c r="AP113" s="21" t="str">
        <f>IFERROR(VLOOKUP(February[[#This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21" t="str">
        <f>IFERROR(VLOOKUP(February[[#This Row],[Drug Name7]],'Data Options'!$R$1:$S$100,2,FALSE), " ")</f>
        <v xml:space="preserve"> </v>
      </c>
      <c r="AZ113" s="32"/>
      <c r="BA113" s="32"/>
      <c r="BB113" s="53"/>
      <c r="BC113" s="21" t="str">
        <f>IFERROR(VLOOKUP(February[[#This Row],[Drug Name8]],'Data Options'!$R$1:$S$100,2,FALSE), " ")</f>
        <v xml:space="preserve"> </v>
      </c>
      <c r="BD113" s="32"/>
      <c r="BE113" s="32"/>
      <c r="BF113" s="53"/>
      <c r="BG113" s="21" t="str">
        <f>IFERROR(VLOOKUP(February[[#This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21" t="str">
        <f>IFERROR(VLOOKUP(February[[#This Row],[Drug Name]],'Data Options'!$R$1:$S$100,2,FALSE), " ")</f>
        <v xml:space="preserve"> </v>
      </c>
      <c r="R114" s="32"/>
      <c r="S114" s="32"/>
      <c r="T114" s="53"/>
      <c r="U114" s="21" t="str">
        <f>IFERROR(VLOOKUP(February[[#This Row],[Drug Name2]],'Data Options'!$R$1:$S$100,2,FALSE), " ")</f>
        <v xml:space="preserve"> </v>
      </c>
      <c r="V114" s="32"/>
      <c r="W114" s="32"/>
      <c r="X114" s="53"/>
      <c r="Y114" s="21" t="str">
        <f>IFERROR(VLOOKUP(February[[#This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21" t="str">
        <f>IFERROR(VLOOKUP(February[[#This Row],[Drug Name4]],'Data Options'!$R$1:$S$100,2,FALSE), " ")</f>
        <v xml:space="preserve"> </v>
      </c>
      <c r="AI114" s="32"/>
      <c r="AJ114" s="32"/>
      <c r="AK114" s="53"/>
      <c r="AL114" s="21" t="str">
        <f>IFERROR(VLOOKUP(February[[#This Row],[Drug Name5]],'Data Options'!$R$1:$S$100,2,FALSE), " ")</f>
        <v xml:space="preserve"> </v>
      </c>
      <c r="AM114" s="32"/>
      <c r="AN114" s="32"/>
      <c r="AO114" s="53"/>
      <c r="AP114" s="21" t="str">
        <f>IFERROR(VLOOKUP(February[[#This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21" t="str">
        <f>IFERROR(VLOOKUP(February[[#This Row],[Drug Name7]],'Data Options'!$R$1:$S$100,2,FALSE), " ")</f>
        <v xml:space="preserve"> </v>
      </c>
      <c r="AZ114" s="32"/>
      <c r="BA114" s="32"/>
      <c r="BB114" s="53"/>
      <c r="BC114" s="21" t="str">
        <f>IFERROR(VLOOKUP(February[[#This Row],[Drug Name8]],'Data Options'!$R$1:$S$100,2,FALSE), " ")</f>
        <v xml:space="preserve"> </v>
      </c>
      <c r="BD114" s="32"/>
      <c r="BE114" s="32"/>
      <c r="BF114" s="53"/>
      <c r="BG114" s="21" t="str">
        <f>IFERROR(VLOOKUP(February[[#This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21" t="str">
        <f>IFERROR(VLOOKUP(February[[#This Row],[Drug Name]],'Data Options'!$R$1:$S$100,2,FALSE), " ")</f>
        <v xml:space="preserve"> </v>
      </c>
      <c r="R115" s="32"/>
      <c r="S115" s="32"/>
      <c r="T115" s="53"/>
      <c r="U115" s="21" t="str">
        <f>IFERROR(VLOOKUP(February[[#This Row],[Drug Name2]],'Data Options'!$R$1:$S$100,2,FALSE), " ")</f>
        <v xml:space="preserve"> </v>
      </c>
      <c r="V115" s="32"/>
      <c r="W115" s="32"/>
      <c r="X115" s="53"/>
      <c r="Y115" s="21" t="str">
        <f>IFERROR(VLOOKUP(February[[#This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21" t="str">
        <f>IFERROR(VLOOKUP(February[[#This Row],[Drug Name4]],'Data Options'!$R$1:$S$100,2,FALSE), " ")</f>
        <v xml:space="preserve"> </v>
      </c>
      <c r="AI115" s="32"/>
      <c r="AJ115" s="32"/>
      <c r="AK115" s="53"/>
      <c r="AL115" s="21" t="str">
        <f>IFERROR(VLOOKUP(February[[#This Row],[Drug Name5]],'Data Options'!$R$1:$S$100,2,FALSE), " ")</f>
        <v xml:space="preserve"> </v>
      </c>
      <c r="AM115" s="32"/>
      <c r="AN115" s="32"/>
      <c r="AO115" s="53"/>
      <c r="AP115" s="21" t="str">
        <f>IFERROR(VLOOKUP(February[[#This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21" t="str">
        <f>IFERROR(VLOOKUP(February[[#This Row],[Drug Name7]],'Data Options'!$R$1:$S$100,2,FALSE), " ")</f>
        <v xml:space="preserve"> </v>
      </c>
      <c r="AZ115" s="32"/>
      <c r="BA115" s="32"/>
      <c r="BB115" s="53"/>
      <c r="BC115" s="21" t="str">
        <f>IFERROR(VLOOKUP(February[[#This Row],[Drug Name8]],'Data Options'!$R$1:$S$100,2,FALSE), " ")</f>
        <v xml:space="preserve"> </v>
      </c>
      <c r="BD115" s="32"/>
      <c r="BE115" s="32"/>
      <c r="BF115" s="53"/>
      <c r="BG115" s="21" t="str">
        <f>IFERROR(VLOOKUP(February[[#This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21" t="str">
        <f>IFERROR(VLOOKUP(February[[#This Row],[Drug Name]],'Data Options'!$R$1:$S$100,2,FALSE), " ")</f>
        <v xml:space="preserve"> </v>
      </c>
      <c r="R116" s="32"/>
      <c r="S116" s="32"/>
      <c r="T116" s="53"/>
      <c r="U116" s="21" t="str">
        <f>IFERROR(VLOOKUP(February[[#This Row],[Drug Name2]],'Data Options'!$R$1:$S$100,2,FALSE), " ")</f>
        <v xml:space="preserve"> </v>
      </c>
      <c r="V116" s="32"/>
      <c r="W116" s="32"/>
      <c r="X116" s="53"/>
      <c r="Y116" s="21" t="str">
        <f>IFERROR(VLOOKUP(February[[#This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21" t="str">
        <f>IFERROR(VLOOKUP(February[[#This Row],[Drug Name4]],'Data Options'!$R$1:$S$100,2,FALSE), " ")</f>
        <v xml:space="preserve"> </v>
      </c>
      <c r="AI116" s="32"/>
      <c r="AJ116" s="32"/>
      <c r="AK116" s="53"/>
      <c r="AL116" s="21" t="str">
        <f>IFERROR(VLOOKUP(February[[#This Row],[Drug Name5]],'Data Options'!$R$1:$S$100,2,FALSE), " ")</f>
        <v xml:space="preserve"> </v>
      </c>
      <c r="AM116" s="32"/>
      <c r="AN116" s="32"/>
      <c r="AO116" s="53"/>
      <c r="AP116" s="21" t="str">
        <f>IFERROR(VLOOKUP(February[[#This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21" t="str">
        <f>IFERROR(VLOOKUP(February[[#This Row],[Drug Name7]],'Data Options'!$R$1:$S$100,2,FALSE), " ")</f>
        <v xml:space="preserve"> </v>
      </c>
      <c r="AZ116" s="32"/>
      <c r="BA116" s="32"/>
      <c r="BB116" s="53"/>
      <c r="BC116" s="21" t="str">
        <f>IFERROR(VLOOKUP(February[[#This Row],[Drug Name8]],'Data Options'!$R$1:$S$100,2,FALSE), " ")</f>
        <v xml:space="preserve"> </v>
      </c>
      <c r="BD116" s="32"/>
      <c r="BE116" s="32"/>
      <c r="BF116" s="53"/>
      <c r="BG116" s="21" t="str">
        <f>IFERROR(VLOOKUP(February[[#This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21" t="str">
        <f>IFERROR(VLOOKUP(February[[#This Row],[Drug Name]],'Data Options'!$R$1:$S$100,2,FALSE), " ")</f>
        <v xml:space="preserve"> </v>
      </c>
      <c r="R117" s="32"/>
      <c r="S117" s="32"/>
      <c r="T117" s="53"/>
      <c r="U117" s="21" t="str">
        <f>IFERROR(VLOOKUP(February[[#This Row],[Drug Name2]],'Data Options'!$R$1:$S$100,2,FALSE), " ")</f>
        <v xml:space="preserve"> </v>
      </c>
      <c r="V117" s="32"/>
      <c r="W117" s="32"/>
      <c r="X117" s="53"/>
      <c r="Y117" s="21" t="str">
        <f>IFERROR(VLOOKUP(February[[#This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21" t="str">
        <f>IFERROR(VLOOKUP(February[[#This Row],[Drug Name4]],'Data Options'!$R$1:$S$100,2,FALSE), " ")</f>
        <v xml:space="preserve"> </v>
      </c>
      <c r="AI117" s="32"/>
      <c r="AJ117" s="32"/>
      <c r="AK117" s="53"/>
      <c r="AL117" s="21" t="str">
        <f>IFERROR(VLOOKUP(February[[#This Row],[Drug Name5]],'Data Options'!$R$1:$S$100,2,FALSE), " ")</f>
        <v xml:space="preserve"> </v>
      </c>
      <c r="AM117" s="32"/>
      <c r="AN117" s="32"/>
      <c r="AO117" s="53"/>
      <c r="AP117" s="21" t="str">
        <f>IFERROR(VLOOKUP(February[[#This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21" t="str">
        <f>IFERROR(VLOOKUP(February[[#This Row],[Drug Name7]],'Data Options'!$R$1:$S$100,2,FALSE), " ")</f>
        <v xml:space="preserve"> </v>
      </c>
      <c r="AZ117" s="32"/>
      <c r="BA117" s="32"/>
      <c r="BB117" s="53"/>
      <c r="BC117" s="21" t="str">
        <f>IFERROR(VLOOKUP(February[[#This Row],[Drug Name8]],'Data Options'!$R$1:$S$100,2,FALSE), " ")</f>
        <v xml:space="preserve"> </v>
      </c>
      <c r="BD117" s="32"/>
      <c r="BE117" s="32"/>
      <c r="BF117" s="53"/>
      <c r="BG117" s="21" t="str">
        <f>IFERROR(VLOOKUP(February[[#This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21" t="str">
        <f>IFERROR(VLOOKUP(February[[#This Row],[Drug Name]],'Data Options'!$R$1:$S$100,2,FALSE), " ")</f>
        <v xml:space="preserve"> </v>
      </c>
      <c r="R118" s="32"/>
      <c r="S118" s="32"/>
      <c r="T118" s="53"/>
      <c r="U118" s="21" t="str">
        <f>IFERROR(VLOOKUP(February[[#This Row],[Drug Name2]],'Data Options'!$R$1:$S$100,2,FALSE), " ")</f>
        <v xml:space="preserve"> </v>
      </c>
      <c r="V118" s="32"/>
      <c r="W118" s="32"/>
      <c r="X118" s="53"/>
      <c r="Y118" s="21" t="str">
        <f>IFERROR(VLOOKUP(February[[#This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21" t="str">
        <f>IFERROR(VLOOKUP(February[[#This Row],[Drug Name4]],'Data Options'!$R$1:$S$100,2,FALSE), " ")</f>
        <v xml:space="preserve"> </v>
      </c>
      <c r="AI118" s="32"/>
      <c r="AJ118" s="32"/>
      <c r="AK118" s="53"/>
      <c r="AL118" s="21" t="str">
        <f>IFERROR(VLOOKUP(February[[#This Row],[Drug Name5]],'Data Options'!$R$1:$S$100,2,FALSE), " ")</f>
        <v xml:space="preserve"> </v>
      </c>
      <c r="AM118" s="32"/>
      <c r="AN118" s="32"/>
      <c r="AO118" s="53"/>
      <c r="AP118" s="21" t="str">
        <f>IFERROR(VLOOKUP(February[[#This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21" t="str">
        <f>IFERROR(VLOOKUP(February[[#This Row],[Drug Name7]],'Data Options'!$R$1:$S$100,2,FALSE), " ")</f>
        <v xml:space="preserve"> </v>
      </c>
      <c r="AZ118" s="32"/>
      <c r="BA118" s="32"/>
      <c r="BB118" s="53"/>
      <c r="BC118" s="21" t="str">
        <f>IFERROR(VLOOKUP(February[[#This Row],[Drug Name8]],'Data Options'!$R$1:$S$100,2,FALSE), " ")</f>
        <v xml:space="preserve"> </v>
      </c>
      <c r="BD118" s="32"/>
      <c r="BE118" s="32"/>
      <c r="BF118" s="53"/>
      <c r="BG118" s="21" t="str">
        <f>IFERROR(VLOOKUP(February[[#This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21" t="str">
        <f>IFERROR(VLOOKUP(February[[#This Row],[Drug Name]],'Data Options'!$R$1:$S$100,2,FALSE), " ")</f>
        <v xml:space="preserve"> </v>
      </c>
      <c r="R119" s="32"/>
      <c r="S119" s="32"/>
      <c r="T119" s="53"/>
      <c r="U119" s="21" t="str">
        <f>IFERROR(VLOOKUP(February[[#This Row],[Drug Name2]],'Data Options'!$R$1:$S$100,2,FALSE), " ")</f>
        <v xml:space="preserve"> </v>
      </c>
      <c r="V119" s="32"/>
      <c r="W119" s="32"/>
      <c r="X119" s="53"/>
      <c r="Y119" s="21" t="str">
        <f>IFERROR(VLOOKUP(February[[#This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21" t="str">
        <f>IFERROR(VLOOKUP(February[[#This Row],[Drug Name4]],'Data Options'!$R$1:$S$100,2,FALSE), " ")</f>
        <v xml:space="preserve"> </v>
      </c>
      <c r="AI119" s="32"/>
      <c r="AJ119" s="32"/>
      <c r="AK119" s="53"/>
      <c r="AL119" s="21" t="str">
        <f>IFERROR(VLOOKUP(February[[#This Row],[Drug Name5]],'Data Options'!$R$1:$S$100,2,FALSE), " ")</f>
        <v xml:space="preserve"> </v>
      </c>
      <c r="AM119" s="32"/>
      <c r="AN119" s="32"/>
      <c r="AO119" s="53"/>
      <c r="AP119" s="21" t="str">
        <f>IFERROR(VLOOKUP(February[[#This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21" t="str">
        <f>IFERROR(VLOOKUP(February[[#This Row],[Drug Name7]],'Data Options'!$R$1:$S$100,2,FALSE), " ")</f>
        <v xml:space="preserve"> </v>
      </c>
      <c r="AZ119" s="32"/>
      <c r="BA119" s="32"/>
      <c r="BB119" s="53"/>
      <c r="BC119" s="21" t="str">
        <f>IFERROR(VLOOKUP(February[[#This Row],[Drug Name8]],'Data Options'!$R$1:$S$100,2,FALSE), " ")</f>
        <v xml:space="preserve"> </v>
      </c>
      <c r="BD119" s="32"/>
      <c r="BE119" s="32"/>
      <c r="BF119" s="53"/>
      <c r="BG119" s="21" t="str">
        <f>IFERROR(VLOOKUP(February[[#This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21" t="str">
        <f>IFERROR(VLOOKUP(February[[#This Row],[Drug Name]],'Data Options'!$R$1:$S$100,2,FALSE), " ")</f>
        <v xml:space="preserve"> </v>
      </c>
      <c r="R120" s="32"/>
      <c r="S120" s="32"/>
      <c r="T120" s="53"/>
      <c r="U120" s="21" t="str">
        <f>IFERROR(VLOOKUP(February[[#This Row],[Drug Name2]],'Data Options'!$R$1:$S$100,2,FALSE), " ")</f>
        <v xml:space="preserve"> </v>
      </c>
      <c r="V120" s="32"/>
      <c r="W120" s="32"/>
      <c r="X120" s="53"/>
      <c r="Y120" s="21" t="str">
        <f>IFERROR(VLOOKUP(February[[#This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21" t="str">
        <f>IFERROR(VLOOKUP(February[[#This Row],[Drug Name4]],'Data Options'!$R$1:$S$100,2,FALSE), " ")</f>
        <v xml:space="preserve"> </v>
      </c>
      <c r="AI120" s="32"/>
      <c r="AJ120" s="32"/>
      <c r="AK120" s="53"/>
      <c r="AL120" s="21" t="str">
        <f>IFERROR(VLOOKUP(February[[#This Row],[Drug Name5]],'Data Options'!$R$1:$S$100,2,FALSE), " ")</f>
        <v xml:space="preserve"> </v>
      </c>
      <c r="AM120" s="32"/>
      <c r="AN120" s="32"/>
      <c r="AO120" s="53"/>
      <c r="AP120" s="21" t="str">
        <f>IFERROR(VLOOKUP(February[[#This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21" t="str">
        <f>IFERROR(VLOOKUP(February[[#This Row],[Drug Name7]],'Data Options'!$R$1:$S$100,2,FALSE), " ")</f>
        <v xml:space="preserve"> </v>
      </c>
      <c r="AZ120" s="32"/>
      <c r="BA120" s="32"/>
      <c r="BB120" s="53"/>
      <c r="BC120" s="21" t="str">
        <f>IFERROR(VLOOKUP(February[[#This Row],[Drug Name8]],'Data Options'!$R$1:$S$100,2,FALSE), " ")</f>
        <v xml:space="preserve"> </v>
      </c>
      <c r="BD120" s="32"/>
      <c r="BE120" s="32"/>
      <c r="BF120" s="53"/>
      <c r="BG120" s="21" t="str">
        <f>IFERROR(VLOOKUP(February[[#This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21" t="str">
        <f>IFERROR(VLOOKUP(February[[#This Row],[Drug Name]],'Data Options'!$R$1:$S$100,2,FALSE), " ")</f>
        <v xml:space="preserve"> </v>
      </c>
      <c r="R121" s="32"/>
      <c r="S121" s="32"/>
      <c r="T121" s="53"/>
      <c r="U121" s="21" t="str">
        <f>IFERROR(VLOOKUP(February[[#This Row],[Drug Name2]],'Data Options'!$R$1:$S$100,2,FALSE), " ")</f>
        <v xml:space="preserve"> </v>
      </c>
      <c r="V121" s="32"/>
      <c r="W121" s="32"/>
      <c r="X121" s="53"/>
      <c r="Y121" s="21" t="str">
        <f>IFERROR(VLOOKUP(February[[#This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21" t="str">
        <f>IFERROR(VLOOKUP(February[[#This Row],[Drug Name4]],'Data Options'!$R$1:$S$100,2,FALSE), " ")</f>
        <v xml:space="preserve"> </v>
      </c>
      <c r="AI121" s="32"/>
      <c r="AJ121" s="32"/>
      <c r="AK121" s="53"/>
      <c r="AL121" s="21" t="str">
        <f>IFERROR(VLOOKUP(February[[#This Row],[Drug Name5]],'Data Options'!$R$1:$S$100,2,FALSE), " ")</f>
        <v xml:space="preserve"> </v>
      </c>
      <c r="AM121" s="32"/>
      <c r="AN121" s="32"/>
      <c r="AO121" s="53"/>
      <c r="AP121" s="21" t="str">
        <f>IFERROR(VLOOKUP(February[[#This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21" t="str">
        <f>IFERROR(VLOOKUP(February[[#This Row],[Drug Name7]],'Data Options'!$R$1:$S$100,2,FALSE), " ")</f>
        <v xml:space="preserve"> </v>
      </c>
      <c r="AZ121" s="32"/>
      <c r="BA121" s="32"/>
      <c r="BB121" s="53"/>
      <c r="BC121" s="21" t="str">
        <f>IFERROR(VLOOKUP(February[[#This Row],[Drug Name8]],'Data Options'!$R$1:$S$100,2,FALSE), " ")</f>
        <v xml:space="preserve"> </v>
      </c>
      <c r="BD121" s="32"/>
      <c r="BE121" s="32"/>
      <c r="BF121" s="53"/>
      <c r="BG121" s="21" t="str">
        <f>IFERROR(VLOOKUP(February[[#This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21" t="str">
        <f>IFERROR(VLOOKUP(February[[#This Row],[Drug Name]],'Data Options'!$R$1:$S$100,2,FALSE), " ")</f>
        <v xml:space="preserve"> </v>
      </c>
      <c r="R122" s="32"/>
      <c r="S122" s="32"/>
      <c r="T122" s="53"/>
      <c r="U122" s="21" t="str">
        <f>IFERROR(VLOOKUP(February[[#This Row],[Drug Name2]],'Data Options'!$R$1:$S$100,2,FALSE), " ")</f>
        <v xml:space="preserve"> </v>
      </c>
      <c r="V122" s="32"/>
      <c r="W122" s="32"/>
      <c r="X122" s="53"/>
      <c r="Y122" s="21" t="str">
        <f>IFERROR(VLOOKUP(February[[#This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21" t="str">
        <f>IFERROR(VLOOKUP(February[[#This Row],[Drug Name4]],'Data Options'!$R$1:$S$100,2,FALSE), " ")</f>
        <v xml:space="preserve"> </v>
      </c>
      <c r="AI122" s="32"/>
      <c r="AJ122" s="32"/>
      <c r="AK122" s="53"/>
      <c r="AL122" s="21" t="str">
        <f>IFERROR(VLOOKUP(February[[#This Row],[Drug Name5]],'Data Options'!$R$1:$S$100,2,FALSE), " ")</f>
        <v xml:space="preserve"> </v>
      </c>
      <c r="AM122" s="32"/>
      <c r="AN122" s="32"/>
      <c r="AO122" s="53"/>
      <c r="AP122" s="21" t="str">
        <f>IFERROR(VLOOKUP(February[[#This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21" t="str">
        <f>IFERROR(VLOOKUP(February[[#This Row],[Drug Name7]],'Data Options'!$R$1:$S$100,2,FALSE), " ")</f>
        <v xml:space="preserve"> </v>
      </c>
      <c r="AZ122" s="32"/>
      <c r="BA122" s="32"/>
      <c r="BB122" s="53"/>
      <c r="BC122" s="21" t="str">
        <f>IFERROR(VLOOKUP(February[[#This Row],[Drug Name8]],'Data Options'!$R$1:$S$100,2,FALSE), " ")</f>
        <v xml:space="preserve"> </v>
      </c>
      <c r="BD122" s="32"/>
      <c r="BE122" s="32"/>
      <c r="BF122" s="53"/>
      <c r="BG122" s="21" t="str">
        <f>IFERROR(VLOOKUP(February[[#This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21" t="str">
        <f>IFERROR(VLOOKUP(February[[#This Row],[Drug Name]],'Data Options'!$R$1:$S$100,2,FALSE), " ")</f>
        <v xml:space="preserve"> </v>
      </c>
      <c r="R123" s="32"/>
      <c r="S123" s="32"/>
      <c r="T123" s="53"/>
      <c r="U123" s="21" t="str">
        <f>IFERROR(VLOOKUP(February[[#This Row],[Drug Name2]],'Data Options'!$R$1:$S$100,2,FALSE), " ")</f>
        <v xml:space="preserve"> </v>
      </c>
      <c r="V123" s="32"/>
      <c r="W123" s="32"/>
      <c r="X123" s="53"/>
      <c r="Y123" s="21" t="str">
        <f>IFERROR(VLOOKUP(February[[#This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21" t="str">
        <f>IFERROR(VLOOKUP(February[[#This Row],[Drug Name4]],'Data Options'!$R$1:$S$100,2,FALSE), " ")</f>
        <v xml:space="preserve"> </v>
      </c>
      <c r="AI123" s="32"/>
      <c r="AJ123" s="32"/>
      <c r="AK123" s="53"/>
      <c r="AL123" s="21" t="str">
        <f>IFERROR(VLOOKUP(February[[#This Row],[Drug Name5]],'Data Options'!$R$1:$S$100,2,FALSE), " ")</f>
        <v xml:space="preserve"> </v>
      </c>
      <c r="AM123" s="32"/>
      <c r="AN123" s="32"/>
      <c r="AO123" s="53"/>
      <c r="AP123" s="21" t="str">
        <f>IFERROR(VLOOKUP(February[[#This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21" t="str">
        <f>IFERROR(VLOOKUP(February[[#This Row],[Drug Name7]],'Data Options'!$R$1:$S$100,2,FALSE), " ")</f>
        <v xml:space="preserve"> </v>
      </c>
      <c r="AZ123" s="32"/>
      <c r="BA123" s="32"/>
      <c r="BB123" s="53"/>
      <c r="BC123" s="21" t="str">
        <f>IFERROR(VLOOKUP(February[[#This Row],[Drug Name8]],'Data Options'!$R$1:$S$100,2,FALSE), " ")</f>
        <v xml:space="preserve"> </v>
      </c>
      <c r="BD123" s="32"/>
      <c r="BE123" s="32"/>
      <c r="BF123" s="53"/>
      <c r="BG123" s="21" t="str">
        <f>IFERROR(VLOOKUP(February[[#This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21" t="str">
        <f>IFERROR(VLOOKUP(February[[#This Row],[Drug Name]],'Data Options'!$R$1:$S$100,2,FALSE), " ")</f>
        <v xml:space="preserve"> </v>
      </c>
      <c r="R124" s="32"/>
      <c r="S124" s="32"/>
      <c r="T124" s="53"/>
      <c r="U124" s="21" t="str">
        <f>IFERROR(VLOOKUP(February[[#This Row],[Drug Name2]],'Data Options'!$R$1:$S$100,2,FALSE), " ")</f>
        <v xml:space="preserve"> </v>
      </c>
      <c r="V124" s="32"/>
      <c r="W124" s="32"/>
      <c r="X124" s="53"/>
      <c r="Y124" s="21" t="str">
        <f>IFERROR(VLOOKUP(February[[#This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21" t="str">
        <f>IFERROR(VLOOKUP(February[[#This Row],[Drug Name4]],'Data Options'!$R$1:$S$100,2,FALSE), " ")</f>
        <v xml:space="preserve"> </v>
      </c>
      <c r="AI124" s="32"/>
      <c r="AJ124" s="32"/>
      <c r="AK124" s="53"/>
      <c r="AL124" s="21" t="str">
        <f>IFERROR(VLOOKUP(February[[#This Row],[Drug Name5]],'Data Options'!$R$1:$S$100,2,FALSE), " ")</f>
        <v xml:space="preserve"> </v>
      </c>
      <c r="AM124" s="32"/>
      <c r="AN124" s="32"/>
      <c r="AO124" s="53"/>
      <c r="AP124" s="21" t="str">
        <f>IFERROR(VLOOKUP(February[[#This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21" t="str">
        <f>IFERROR(VLOOKUP(February[[#This Row],[Drug Name7]],'Data Options'!$R$1:$S$100,2,FALSE), " ")</f>
        <v xml:space="preserve"> </v>
      </c>
      <c r="AZ124" s="32"/>
      <c r="BA124" s="32"/>
      <c r="BB124" s="53"/>
      <c r="BC124" s="21" t="str">
        <f>IFERROR(VLOOKUP(February[[#This Row],[Drug Name8]],'Data Options'!$R$1:$S$100,2,FALSE), " ")</f>
        <v xml:space="preserve"> </v>
      </c>
      <c r="BD124" s="32"/>
      <c r="BE124" s="32"/>
      <c r="BF124" s="53"/>
      <c r="BG124" s="21" t="str">
        <f>IFERROR(VLOOKUP(February[[#This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21" t="str">
        <f>IFERROR(VLOOKUP(February[[#This Row],[Drug Name]],'Data Options'!$R$1:$S$100,2,FALSE), " ")</f>
        <v xml:space="preserve"> </v>
      </c>
      <c r="R125" s="32"/>
      <c r="S125" s="32"/>
      <c r="T125" s="53"/>
      <c r="U125" s="21" t="str">
        <f>IFERROR(VLOOKUP(February[[#This Row],[Drug Name2]],'Data Options'!$R$1:$S$100,2,FALSE), " ")</f>
        <v xml:space="preserve"> </v>
      </c>
      <c r="V125" s="32"/>
      <c r="W125" s="32"/>
      <c r="X125" s="53"/>
      <c r="Y125" s="21" t="str">
        <f>IFERROR(VLOOKUP(February[[#This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21" t="str">
        <f>IFERROR(VLOOKUP(February[[#This Row],[Drug Name4]],'Data Options'!$R$1:$S$100,2,FALSE), " ")</f>
        <v xml:space="preserve"> </v>
      </c>
      <c r="AI125" s="32"/>
      <c r="AJ125" s="32"/>
      <c r="AK125" s="53"/>
      <c r="AL125" s="21" t="str">
        <f>IFERROR(VLOOKUP(February[[#This Row],[Drug Name5]],'Data Options'!$R$1:$S$100,2,FALSE), " ")</f>
        <v xml:space="preserve"> </v>
      </c>
      <c r="AM125" s="32"/>
      <c r="AN125" s="32"/>
      <c r="AO125" s="53"/>
      <c r="AP125" s="21" t="str">
        <f>IFERROR(VLOOKUP(February[[#This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21" t="str">
        <f>IFERROR(VLOOKUP(February[[#This Row],[Drug Name7]],'Data Options'!$R$1:$S$100,2,FALSE), " ")</f>
        <v xml:space="preserve"> </v>
      </c>
      <c r="AZ125" s="32"/>
      <c r="BA125" s="32"/>
      <c r="BB125" s="53"/>
      <c r="BC125" s="21" t="str">
        <f>IFERROR(VLOOKUP(February[[#This Row],[Drug Name8]],'Data Options'!$R$1:$S$100,2,FALSE), " ")</f>
        <v xml:space="preserve"> </v>
      </c>
      <c r="BD125" s="32"/>
      <c r="BE125" s="32"/>
      <c r="BF125" s="53"/>
      <c r="BG125" s="21" t="str">
        <f>IFERROR(VLOOKUP(February[[#This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21" t="str">
        <f>IFERROR(VLOOKUP(February[[#This Row],[Drug Name]],'Data Options'!$R$1:$S$100,2,FALSE), " ")</f>
        <v xml:space="preserve"> </v>
      </c>
      <c r="R126" s="32"/>
      <c r="S126" s="32"/>
      <c r="T126" s="53"/>
      <c r="U126" s="21" t="str">
        <f>IFERROR(VLOOKUP(February[[#This Row],[Drug Name2]],'Data Options'!$R$1:$S$100,2,FALSE), " ")</f>
        <v xml:space="preserve"> </v>
      </c>
      <c r="V126" s="32"/>
      <c r="W126" s="32"/>
      <c r="X126" s="53"/>
      <c r="Y126" s="21" t="str">
        <f>IFERROR(VLOOKUP(February[[#This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21" t="str">
        <f>IFERROR(VLOOKUP(February[[#This Row],[Drug Name4]],'Data Options'!$R$1:$S$100,2,FALSE), " ")</f>
        <v xml:space="preserve"> </v>
      </c>
      <c r="AI126" s="32"/>
      <c r="AJ126" s="32"/>
      <c r="AK126" s="53"/>
      <c r="AL126" s="21" t="str">
        <f>IFERROR(VLOOKUP(February[[#This Row],[Drug Name5]],'Data Options'!$R$1:$S$100,2,FALSE), " ")</f>
        <v xml:space="preserve"> </v>
      </c>
      <c r="AM126" s="32"/>
      <c r="AN126" s="32"/>
      <c r="AO126" s="53"/>
      <c r="AP126" s="21" t="str">
        <f>IFERROR(VLOOKUP(February[[#This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21" t="str">
        <f>IFERROR(VLOOKUP(February[[#This Row],[Drug Name7]],'Data Options'!$R$1:$S$100,2,FALSE), " ")</f>
        <v xml:space="preserve"> </v>
      </c>
      <c r="AZ126" s="32"/>
      <c r="BA126" s="32"/>
      <c r="BB126" s="53"/>
      <c r="BC126" s="21" t="str">
        <f>IFERROR(VLOOKUP(February[[#This Row],[Drug Name8]],'Data Options'!$R$1:$S$100,2,FALSE), " ")</f>
        <v xml:space="preserve"> </v>
      </c>
      <c r="BD126" s="32"/>
      <c r="BE126" s="32"/>
      <c r="BF126" s="53"/>
      <c r="BG126" s="21" t="str">
        <f>IFERROR(VLOOKUP(February[[#This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21" t="str">
        <f>IFERROR(VLOOKUP(February[[#This Row],[Drug Name]],'Data Options'!$R$1:$S$100,2,FALSE), " ")</f>
        <v xml:space="preserve"> </v>
      </c>
      <c r="R127" s="32"/>
      <c r="S127" s="32"/>
      <c r="T127" s="53"/>
      <c r="U127" s="21" t="str">
        <f>IFERROR(VLOOKUP(February[[#This Row],[Drug Name2]],'Data Options'!$R$1:$S$100,2,FALSE), " ")</f>
        <v xml:space="preserve"> </v>
      </c>
      <c r="V127" s="32"/>
      <c r="W127" s="32"/>
      <c r="X127" s="53"/>
      <c r="Y127" s="21" t="str">
        <f>IFERROR(VLOOKUP(February[[#This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21" t="str">
        <f>IFERROR(VLOOKUP(February[[#This Row],[Drug Name4]],'Data Options'!$R$1:$S$100,2,FALSE), " ")</f>
        <v xml:space="preserve"> </v>
      </c>
      <c r="AI127" s="32"/>
      <c r="AJ127" s="32"/>
      <c r="AK127" s="53"/>
      <c r="AL127" s="21" t="str">
        <f>IFERROR(VLOOKUP(February[[#This Row],[Drug Name5]],'Data Options'!$R$1:$S$100,2,FALSE), " ")</f>
        <v xml:space="preserve"> </v>
      </c>
      <c r="AM127" s="32"/>
      <c r="AN127" s="32"/>
      <c r="AO127" s="53"/>
      <c r="AP127" s="21" t="str">
        <f>IFERROR(VLOOKUP(February[[#This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21" t="str">
        <f>IFERROR(VLOOKUP(February[[#This Row],[Drug Name7]],'Data Options'!$R$1:$S$100,2,FALSE), " ")</f>
        <v xml:space="preserve"> </v>
      </c>
      <c r="AZ127" s="32"/>
      <c r="BA127" s="32"/>
      <c r="BB127" s="53"/>
      <c r="BC127" s="21" t="str">
        <f>IFERROR(VLOOKUP(February[[#This Row],[Drug Name8]],'Data Options'!$R$1:$S$100,2,FALSE), " ")</f>
        <v xml:space="preserve"> </v>
      </c>
      <c r="BD127" s="32"/>
      <c r="BE127" s="32"/>
      <c r="BF127" s="53"/>
      <c r="BG127" s="21" t="str">
        <f>IFERROR(VLOOKUP(February[[#This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21" t="str">
        <f>IFERROR(VLOOKUP(February[[#This Row],[Drug Name]],'Data Options'!$R$1:$S$100,2,FALSE), " ")</f>
        <v xml:space="preserve"> </v>
      </c>
      <c r="R128" s="32"/>
      <c r="S128" s="32"/>
      <c r="T128" s="53"/>
      <c r="U128" s="21" t="str">
        <f>IFERROR(VLOOKUP(February[[#This Row],[Drug Name2]],'Data Options'!$R$1:$S$100,2,FALSE), " ")</f>
        <v xml:space="preserve"> </v>
      </c>
      <c r="V128" s="32"/>
      <c r="W128" s="32"/>
      <c r="X128" s="53"/>
      <c r="Y128" s="21" t="str">
        <f>IFERROR(VLOOKUP(February[[#This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21" t="str">
        <f>IFERROR(VLOOKUP(February[[#This Row],[Drug Name4]],'Data Options'!$R$1:$S$100,2,FALSE), " ")</f>
        <v xml:space="preserve"> </v>
      </c>
      <c r="AI128" s="32"/>
      <c r="AJ128" s="32"/>
      <c r="AK128" s="53"/>
      <c r="AL128" s="21" t="str">
        <f>IFERROR(VLOOKUP(February[[#This Row],[Drug Name5]],'Data Options'!$R$1:$S$100,2,FALSE), " ")</f>
        <v xml:space="preserve"> </v>
      </c>
      <c r="AM128" s="32"/>
      <c r="AN128" s="32"/>
      <c r="AO128" s="53"/>
      <c r="AP128" s="21" t="str">
        <f>IFERROR(VLOOKUP(February[[#This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21" t="str">
        <f>IFERROR(VLOOKUP(February[[#This Row],[Drug Name7]],'Data Options'!$R$1:$S$100,2,FALSE), " ")</f>
        <v xml:space="preserve"> </v>
      </c>
      <c r="AZ128" s="32"/>
      <c r="BA128" s="32"/>
      <c r="BB128" s="53"/>
      <c r="BC128" s="21" t="str">
        <f>IFERROR(VLOOKUP(February[[#This Row],[Drug Name8]],'Data Options'!$R$1:$S$100,2,FALSE), " ")</f>
        <v xml:space="preserve"> </v>
      </c>
      <c r="BD128" s="32"/>
      <c r="BE128" s="32"/>
      <c r="BF128" s="53"/>
      <c r="BG128" s="21" t="str">
        <f>IFERROR(VLOOKUP(February[[#This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21" t="str">
        <f>IFERROR(VLOOKUP(February[[#This Row],[Drug Name]],'Data Options'!$R$1:$S$100,2,FALSE), " ")</f>
        <v xml:space="preserve"> </v>
      </c>
      <c r="R129" s="32"/>
      <c r="S129" s="32"/>
      <c r="T129" s="53"/>
      <c r="U129" s="21" t="str">
        <f>IFERROR(VLOOKUP(February[[#This Row],[Drug Name2]],'Data Options'!$R$1:$S$100,2,FALSE), " ")</f>
        <v xml:space="preserve"> </v>
      </c>
      <c r="V129" s="32"/>
      <c r="W129" s="32"/>
      <c r="X129" s="53"/>
      <c r="Y129" s="21" t="str">
        <f>IFERROR(VLOOKUP(February[[#This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21" t="str">
        <f>IFERROR(VLOOKUP(February[[#This Row],[Drug Name4]],'Data Options'!$R$1:$S$100,2,FALSE), " ")</f>
        <v xml:space="preserve"> </v>
      </c>
      <c r="AI129" s="32"/>
      <c r="AJ129" s="32"/>
      <c r="AK129" s="53"/>
      <c r="AL129" s="21" t="str">
        <f>IFERROR(VLOOKUP(February[[#This Row],[Drug Name5]],'Data Options'!$R$1:$S$100,2,FALSE), " ")</f>
        <v xml:space="preserve"> </v>
      </c>
      <c r="AM129" s="32"/>
      <c r="AN129" s="32"/>
      <c r="AO129" s="53"/>
      <c r="AP129" s="21" t="str">
        <f>IFERROR(VLOOKUP(February[[#This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21" t="str">
        <f>IFERROR(VLOOKUP(February[[#This Row],[Drug Name7]],'Data Options'!$R$1:$S$100,2,FALSE), " ")</f>
        <v xml:space="preserve"> </v>
      </c>
      <c r="AZ129" s="32"/>
      <c r="BA129" s="32"/>
      <c r="BB129" s="53"/>
      <c r="BC129" s="21" t="str">
        <f>IFERROR(VLOOKUP(February[[#This Row],[Drug Name8]],'Data Options'!$R$1:$S$100,2,FALSE), " ")</f>
        <v xml:space="preserve"> </v>
      </c>
      <c r="BD129" s="32"/>
      <c r="BE129" s="32"/>
      <c r="BF129" s="53"/>
      <c r="BG129" s="21" t="str">
        <f>IFERROR(VLOOKUP(February[[#This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21" t="str">
        <f>IFERROR(VLOOKUP(February[[#This Row],[Drug Name]],'Data Options'!$R$1:$S$100,2,FALSE), " ")</f>
        <v xml:space="preserve"> </v>
      </c>
      <c r="R130" s="32"/>
      <c r="S130" s="32"/>
      <c r="T130" s="53"/>
      <c r="U130" s="21" t="str">
        <f>IFERROR(VLOOKUP(February[[#This Row],[Drug Name2]],'Data Options'!$R$1:$S$100,2,FALSE), " ")</f>
        <v xml:space="preserve"> </v>
      </c>
      <c r="V130" s="32"/>
      <c r="W130" s="32"/>
      <c r="X130" s="53"/>
      <c r="Y130" s="21" t="str">
        <f>IFERROR(VLOOKUP(February[[#This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21" t="str">
        <f>IFERROR(VLOOKUP(February[[#This Row],[Drug Name4]],'Data Options'!$R$1:$S$100,2,FALSE), " ")</f>
        <v xml:space="preserve"> </v>
      </c>
      <c r="AI130" s="32"/>
      <c r="AJ130" s="32"/>
      <c r="AK130" s="53"/>
      <c r="AL130" s="21" t="str">
        <f>IFERROR(VLOOKUP(February[[#This Row],[Drug Name5]],'Data Options'!$R$1:$S$100,2,FALSE), " ")</f>
        <v xml:space="preserve"> </v>
      </c>
      <c r="AM130" s="32"/>
      <c r="AN130" s="32"/>
      <c r="AO130" s="53"/>
      <c r="AP130" s="21" t="str">
        <f>IFERROR(VLOOKUP(February[[#This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21" t="str">
        <f>IFERROR(VLOOKUP(February[[#This Row],[Drug Name7]],'Data Options'!$R$1:$S$100,2,FALSE), " ")</f>
        <v xml:space="preserve"> </v>
      </c>
      <c r="AZ130" s="32"/>
      <c r="BA130" s="32"/>
      <c r="BB130" s="53"/>
      <c r="BC130" s="21" t="str">
        <f>IFERROR(VLOOKUP(February[[#This Row],[Drug Name8]],'Data Options'!$R$1:$S$100,2,FALSE), " ")</f>
        <v xml:space="preserve"> </v>
      </c>
      <c r="BD130" s="32"/>
      <c r="BE130" s="32"/>
      <c r="BF130" s="53"/>
      <c r="BG130" s="21" t="str">
        <f>IFERROR(VLOOKUP(February[[#This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21" t="str">
        <f>IFERROR(VLOOKUP(February[[#This Row],[Drug Name]],'Data Options'!$R$1:$S$100,2,FALSE), " ")</f>
        <v xml:space="preserve"> </v>
      </c>
      <c r="R131" s="32"/>
      <c r="S131" s="32"/>
      <c r="T131" s="53"/>
      <c r="U131" s="21" t="str">
        <f>IFERROR(VLOOKUP(February[[#This Row],[Drug Name2]],'Data Options'!$R$1:$S$100,2,FALSE), " ")</f>
        <v xml:space="preserve"> </v>
      </c>
      <c r="V131" s="32"/>
      <c r="W131" s="32"/>
      <c r="X131" s="53"/>
      <c r="Y131" s="21" t="str">
        <f>IFERROR(VLOOKUP(February[[#This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21" t="str">
        <f>IFERROR(VLOOKUP(February[[#This Row],[Drug Name4]],'Data Options'!$R$1:$S$100,2,FALSE), " ")</f>
        <v xml:space="preserve"> </v>
      </c>
      <c r="AI131" s="32"/>
      <c r="AJ131" s="32"/>
      <c r="AK131" s="53"/>
      <c r="AL131" s="21" t="str">
        <f>IFERROR(VLOOKUP(February[[#This Row],[Drug Name5]],'Data Options'!$R$1:$S$100,2,FALSE), " ")</f>
        <v xml:space="preserve"> </v>
      </c>
      <c r="AM131" s="32"/>
      <c r="AN131" s="32"/>
      <c r="AO131" s="53"/>
      <c r="AP131" s="21" t="str">
        <f>IFERROR(VLOOKUP(February[[#This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21" t="str">
        <f>IFERROR(VLOOKUP(February[[#This Row],[Drug Name7]],'Data Options'!$R$1:$S$100,2,FALSE), " ")</f>
        <v xml:space="preserve"> </v>
      </c>
      <c r="AZ131" s="32"/>
      <c r="BA131" s="32"/>
      <c r="BB131" s="53"/>
      <c r="BC131" s="21" t="str">
        <f>IFERROR(VLOOKUP(February[[#This Row],[Drug Name8]],'Data Options'!$R$1:$S$100,2,FALSE), " ")</f>
        <v xml:space="preserve"> </v>
      </c>
      <c r="BD131" s="32"/>
      <c r="BE131" s="32"/>
      <c r="BF131" s="53"/>
      <c r="BG131" s="21" t="str">
        <f>IFERROR(VLOOKUP(February[[#This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21" t="str">
        <f>IFERROR(VLOOKUP(February[[#This Row],[Drug Name]],'Data Options'!$R$1:$S$100,2,FALSE), " ")</f>
        <v xml:space="preserve"> </v>
      </c>
      <c r="R132" s="32"/>
      <c r="S132" s="32"/>
      <c r="T132" s="53"/>
      <c r="U132" s="21" t="str">
        <f>IFERROR(VLOOKUP(February[[#This Row],[Drug Name2]],'Data Options'!$R$1:$S$100,2,FALSE), " ")</f>
        <v xml:space="preserve"> </v>
      </c>
      <c r="V132" s="32"/>
      <c r="W132" s="32"/>
      <c r="X132" s="53"/>
      <c r="Y132" s="21" t="str">
        <f>IFERROR(VLOOKUP(February[[#This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21" t="str">
        <f>IFERROR(VLOOKUP(February[[#This Row],[Drug Name4]],'Data Options'!$R$1:$S$100,2,FALSE), " ")</f>
        <v xml:space="preserve"> </v>
      </c>
      <c r="AI132" s="32"/>
      <c r="AJ132" s="32"/>
      <c r="AK132" s="53"/>
      <c r="AL132" s="21" t="str">
        <f>IFERROR(VLOOKUP(February[[#This Row],[Drug Name5]],'Data Options'!$R$1:$S$100,2,FALSE), " ")</f>
        <v xml:space="preserve"> </v>
      </c>
      <c r="AM132" s="32"/>
      <c r="AN132" s="32"/>
      <c r="AO132" s="53"/>
      <c r="AP132" s="21" t="str">
        <f>IFERROR(VLOOKUP(February[[#This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21" t="str">
        <f>IFERROR(VLOOKUP(February[[#This Row],[Drug Name7]],'Data Options'!$R$1:$S$100,2,FALSE), " ")</f>
        <v xml:space="preserve"> </v>
      </c>
      <c r="AZ132" s="32"/>
      <c r="BA132" s="32"/>
      <c r="BB132" s="53"/>
      <c r="BC132" s="21" t="str">
        <f>IFERROR(VLOOKUP(February[[#This Row],[Drug Name8]],'Data Options'!$R$1:$S$100,2,FALSE), " ")</f>
        <v xml:space="preserve"> </v>
      </c>
      <c r="BD132" s="32"/>
      <c r="BE132" s="32"/>
      <c r="BF132" s="53"/>
      <c r="BG132" s="21" t="str">
        <f>IFERROR(VLOOKUP(February[[#This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21" t="str">
        <f>IFERROR(VLOOKUP(February[[#This Row],[Drug Name]],'Data Options'!$R$1:$S$100,2,FALSE), " ")</f>
        <v xml:space="preserve"> </v>
      </c>
      <c r="R133" s="32"/>
      <c r="S133" s="32"/>
      <c r="T133" s="53"/>
      <c r="U133" s="21" t="str">
        <f>IFERROR(VLOOKUP(February[[#This Row],[Drug Name2]],'Data Options'!$R$1:$S$100,2,FALSE), " ")</f>
        <v xml:space="preserve"> </v>
      </c>
      <c r="V133" s="32"/>
      <c r="W133" s="32"/>
      <c r="X133" s="53"/>
      <c r="Y133" s="21" t="str">
        <f>IFERROR(VLOOKUP(February[[#This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21" t="str">
        <f>IFERROR(VLOOKUP(February[[#This Row],[Drug Name4]],'Data Options'!$R$1:$S$100,2,FALSE), " ")</f>
        <v xml:space="preserve"> </v>
      </c>
      <c r="AI133" s="32"/>
      <c r="AJ133" s="32"/>
      <c r="AK133" s="53"/>
      <c r="AL133" s="21" t="str">
        <f>IFERROR(VLOOKUP(February[[#This Row],[Drug Name5]],'Data Options'!$R$1:$S$100,2,FALSE), " ")</f>
        <v xml:space="preserve"> </v>
      </c>
      <c r="AM133" s="32"/>
      <c r="AN133" s="32"/>
      <c r="AO133" s="53"/>
      <c r="AP133" s="21" t="str">
        <f>IFERROR(VLOOKUP(February[[#This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21" t="str">
        <f>IFERROR(VLOOKUP(February[[#This Row],[Drug Name7]],'Data Options'!$R$1:$S$100,2,FALSE), " ")</f>
        <v xml:space="preserve"> </v>
      </c>
      <c r="AZ133" s="32"/>
      <c r="BA133" s="32"/>
      <c r="BB133" s="53"/>
      <c r="BC133" s="21" t="str">
        <f>IFERROR(VLOOKUP(February[[#This Row],[Drug Name8]],'Data Options'!$R$1:$S$100,2,FALSE), " ")</f>
        <v xml:space="preserve"> </v>
      </c>
      <c r="BD133" s="32"/>
      <c r="BE133" s="32"/>
      <c r="BF133" s="53"/>
      <c r="BG133" s="21" t="str">
        <f>IFERROR(VLOOKUP(February[[#This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21" t="str">
        <f>IFERROR(VLOOKUP(February[[#This Row],[Drug Name]],'Data Options'!$R$1:$S$100,2,FALSE), " ")</f>
        <v xml:space="preserve"> </v>
      </c>
      <c r="R134" s="32"/>
      <c r="S134" s="32"/>
      <c r="T134" s="53"/>
      <c r="U134" s="21" t="str">
        <f>IFERROR(VLOOKUP(February[[#This Row],[Drug Name2]],'Data Options'!$R$1:$S$100,2,FALSE), " ")</f>
        <v xml:space="preserve"> </v>
      </c>
      <c r="V134" s="32"/>
      <c r="W134" s="32"/>
      <c r="X134" s="53"/>
      <c r="Y134" s="21" t="str">
        <f>IFERROR(VLOOKUP(February[[#This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21" t="str">
        <f>IFERROR(VLOOKUP(February[[#This Row],[Drug Name4]],'Data Options'!$R$1:$S$100,2,FALSE), " ")</f>
        <v xml:space="preserve"> </v>
      </c>
      <c r="AI134" s="32"/>
      <c r="AJ134" s="32"/>
      <c r="AK134" s="53"/>
      <c r="AL134" s="21" t="str">
        <f>IFERROR(VLOOKUP(February[[#This Row],[Drug Name5]],'Data Options'!$R$1:$S$100,2,FALSE), " ")</f>
        <v xml:space="preserve"> </v>
      </c>
      <c r="AM134" s="32"/>
      <c r="AN134" s="32"/>
      <c r="AO134" s="53"/>
      <c r="AP134" s="21" t="str">
        <f>IFERROR(VLOOKUP(February[[#This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21" t="str">
        <f>IFERROR(VLOOKUP(February[[#This Row],[Drug Name7]],'Data Options'!$R$1:$S$100,2,FALSE), " ")</f>
        <v xml:space="preserve"> </v>
      </c>
      <c r="AZ134" s="32"/>
      <c r="BA134" s="32"/>
      <c r="BB134" s="53"/>
      <c r="BC134" s="21" t="str">
        <f>IFERROR(VLOOKUP(February[[#This Row],[Drug Name8]],'Data Options'!$R$1:$S$100,2,FALSE), " ")</f>
        <v xml:space="preserve"> </v>
      </c>
      <c r="BD134" s="32"/>
      <c r="BE134" s="32"/>
      <c r="BF134" s="53"/>
      <c r="BG134" s="21" t="str">
        <f>IFERROR(VLOOKUP(February[[#This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21" t="str">
        <f>IFERROR(VLOOKUP(February[[#This Row],[Drug Name]],'Data Options'!$R$1:$S$100,2,FALSE), " ")</f>
        <v xml:space="preserve"> </v>
      </c>
      <c r="R135" s="32"/>
      <c r="S135" s="32"/>
      <c r="T135" s="53"/>
      <c r="U135" s="21" t="str">
        <f>IFERROR(VLOOKUP(February[[#This Row],[Drug Name2]],'Data Options'!$R$1:$S$100,2,FALSE), " ")</f>
        <v xml:space="preserve"> </v>
      </c>
      <c r="V135" s="32"/>
      <c r="W135" s="32"/>
      <c r="X135" s="53"/>
      <c r="Y135" s="21" t="str">
        <f>IFERROR(VLOOKUP(February[[#This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21" t="str">
        <f>IFERROR(VLOOKUP(February[[#This Row],[Drug Name4]],'Data Options'!$R$1:$S$100,2,FALSE), " ")</f>
        <v xml:space="preserve"> </v>
      </c>
      <c r="AI135" s="32"/>
      <c r="AJ135" s="32"/>
      <c r="AK135" s="53"/>
      <c r="AL135" s="21" t="str">
        <f>IFERROR(VLOOKUP(February[[#This Row],[Drug Name5]],'Data Options'!$R$1:$S$100,2,FALSE), " ")</f>
        <v xml:space="preserve"> </v>
      </c>
      <c r="AM135" s="32"/>
      <c r="AN135" s="32"/>
      <c r="AO135" s="53"/>
      <c r="AP135" s="21" t="str">
        <f>IFERROR(VLOOKUP(February[[#This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21" t="str">
        <f>IFERROR(VLOOKUP(February[[#This Row],[Drug Name7]],'Data Options'!$R$1:$S$100,2,FALSE), " ")</f>
        <v xml:space="preserve"> </v>
      </c>
      <c r="AZ135" s="32"/>
      <c r="BA135" s="32"/>
      <c r="BB135" s="53"/>
      <c r="BC135" s="21" t="str">
        <f>IFERROR(VLOOKUP(February[[#This Row],[Drug Name8]],'Data Options'!$R$1:$S$100,2,FALSE), " ")</f>
        <v xml:space="preserve"> </v>
      </c>
      <c r="BD135" s="32"/>
      <c r="BE135" s="32"/>
      <c r="BF135" s="53"/>
      <c r="BG135" s="21" t="str">
        <f>IFERROR(VLOOKUP(February[[#This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21" t="str">
        <f>IFERROR(VLOOKUP(February[[#This Row],[Drug Name]],'Data Options'!$R$1:$S$100,2,FALSE), " ")</f>
        <v xml:space="preserve"> </v>
      </c>
      <c r="R136" s="32"/>
      <c r="S136" s="32"/>
      <c r="T136" s="53"/>
      <c r="U136" s="21" t="str">
        <f>IFERROR(VLOOKUP(February[[#This Row],[Drug Name2]],'Data Options'!$R$1:$S$100,2,FALSE), " ")</f>
        <v xml:space="preserve"> </v>
      </c>
      <c r="V136" s="32"/>
      <c r="W136" s="32"/>
      <c r="X136" s="53"/>
      <c r="Y136" s="21" t="str">
        <f>IFERROR(VLOOKUP(February[[#This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21" t="str">
        <f>IFERROR(VLOOKUP(February[[#This Row],[Drug Name4]],'Data Options'!$R$1:$S$100,2,FALSE), " ")</f>
        <v xml:space="preserve"> </v>
      </c>
      <c r="AI136" s="32"/>
      <c r="AJ136" s="32"/>
      <c r="AK136" s="53"/>
      <c r="AL136" s="21" t="str">
        <f>IFERROR(VLOOKUP(February[[#This Row],[Drug Name5]],'Data Options'!$R$1:$S$100,2,FALSE), " ")</f>
        <v xml:space="preserve"> </v>
      </c>
      <c r="AM136" s="32"/>
      <c r="AN136" s="32"/>
      <c r="AO136" s="53"/>
      <c r="AP136" s="21" t="str">
        <f>IFERROR(VLOOKUP(February[[#This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21" t="str">
        <f>IFERROR(VLOOKUP(February[[#This Row],[Drug Name7]],'Data Options'!$R$1:$S$100,2,FALSE), " ")</f>
        <v xml:space="preserve"> </v>
      </c>
      <c r="AZ136" s="32"/>
      <c r="BA136" s="32"/>
      <c r="BB136" s="53"/>
      <c r="BC136" s="21" t="str">
        <f>IFERROR(VLOOKUP(February[[#This Row],[Drug Name8]],'Data Options'!$R$1:$S$100,2,FALSE), " ")</f>
        <v xml:space="preserve"> </v>
      </c>
      <c r="BD136" s="32"/>
      <c r="BE136" s="32"/>
      <c r="BF136" s="53"/>
      <c r="BG136" s="21" t="str">
        <f>IFERROR(VLOOKUP(February[[#This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21" t="str">
        <f>IFERROR(VLOOKUP(February[[#This Row],[Drug Name]],'Data Options'!$R$1:$S$100,2,FALSE), " ")</f>
        <v xml:space="preserve"> </v>
      </c>
      <c r="R137" s="32"/>
      <c r="S137" s="32"/>
      <c r="T137" s="53"/>
      <c r="U137" s="21" t="str">
        <f>IFERROR(VLOOKUP(February[[#This Row],[Drug Name2]],'Data Options'!$R$1:$S$100,2,FALSE), " ")</f>
        <v xml:space="preserve"> </v>
      </c>
      <c r="V137" s="32"/>
      <c r="W137" s="32"/>
      <c r="X137" s="53"/>
      <c r="Y137" s="21" t="str">
        <f>IFERROR(VLOOKUP(February[[#This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21" t="str">
        <f>IFERROR(VLOOKUP(February[[#This Row],[Drug Name4]],'Data Options'!$R$1:$S$100,2,FALSE), " ")</f>
        <v xml:space="preserve"> </v>
      </c>
      <c r="AI137" s="32"/>
      <c r="AJ137" s="32"/>
      <c r="AK137" s="53"/>
      <c r="AL137" s="21" t="str">
        <f>IFERROR(VLOOKUP(February[[#This Row],[Drug Name5]],'Data Options'!$R$1:$S$100,2,FALSE), " ")</f>
        <v xml:space="preserve"> </v>
      </c>
      <c r="AM137" s="32"/>
      <c r="AN137" s="32"/>
      <c r="AO137" s="53"/>
      <c r="AP137" s="21" t="str">
        <f>IFERROR(VLOOKUP(February[[#This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21" t="str">
        <f>IFERROR(VLOOKUP(February[[#This Row],[Drug Name7]],'Data Options'!$R$1:$S$100,2,FALSE), " ")</f>
        <v xml:space="preserve"> </v>
      </c>
      <c r="AZ137" s="32"/>
      <c r="BA137" s="32"/>
      <c r="BB137" s="53"/>
      <c r="BC137" s="21" t="str">
        <f>IFERROR(VLOOKUP(February[[#This Row],[Drug Name8]],'Data Options'!$R$1:$S$100,2,FALSE), " ")</f>
        <v xml:space="preserve"> </v>
      </c>
      <c r="BD137" s="32"/>
      <c r="BE137" s="32"/>
      <c r="BF137" s="53"/>
      <c r="BG137" s="21" t="str">
        <f>IFERROR(VLOOKUP(February[[#This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21" t="str">
        <f>IFERROR(VLOOKUP(February[[#This Row],[Drug Name]],'Data Options'!$R$1:$S$100,2,FALSE), " ")</f>
        <v xml:space="preserve"> </v>
      </c>
      <c r="R138" s="32"/>
      <c r="S138" s="32"/>
      <c r="T138" s="53"/>
      <c r="U138" s="21" t="str">
        <f>IFERROR(VLOOKUP(February[[#This Row],[Drug Name2]],'Data Options'!$R$1:$S$100,2,FALSE), " ")</f>
        <v xml:space="preserve"> </v>
      </c>
      <c r="V138" s="32"/>
      <c r="W138" s="32"/>
      <c r="X138" s="53"/>
      <c r="Y138" s="21" t="str">
        <f>IFERROR(VLOOKUP(February[[#This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21" t="str">
        <f>IFERROR(VLOOKUP(February[[#This Row],[Drug Name4]],'Data Options'!$R$1:$S$100,2,FALSE), " ")</f>
        <v xml:space="preserve"> </v>
      </c>
      <c r="AI138" s="32"/>
      <c r="AJ138" s="32"/>
      <c r="AK138" s="53"/>
      <c r="AL138" s="21" t="str">
        <f>IFERROR(VLOOKUP(February[[#This Row],[Drug Name5]],'Data Options'!$R$1:$S$100,2,FALSE), " ")</f>
        <v xml:space="preserve"> </v>
      </c>
      <c r="AM138" s="32"/>
      <c r="AN138" s="32"/>
      <c r="AO138" s="53"/>
      <c r="AP138" s="21" t="str">
        <f>IFERROR(VLOOKUP(February[[#This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21" t="str">
        <f>IFERROR(VLOOKUP(February[[#This Row],[Drug Name7]],'Data Options'!$R$1:$S$100,2,FALSE), " ")</f>
        <v xml:space="preserve"> </v>
      </c>
      <c r="AZ138" s="32"/>
      <c r="BA138" s="32"/>
      <c r="BB138" s="53"/>
      <c r="BC138" s="21" t="str">
        <f>IFERROR(VLOOKUP(February[[#This Row],[Drug Name8]],'Data Options'!$R$1:$S$100,2,FALSE), " ")</f>
        <v xml:space="preserve"> </v>
      </c>
      <c r="BD138" s="32"/>
      <c r="BE138" s="32"/>
      <c r="BF138" s="53"/>
      <c r="BG138" s="21" t="str">
        <f>IFERROR(VLOOKUP(February[[#This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21" t="str">
        <f>IFERROR(VLOOKUP(February[[#This Row],[Drug Name]],'Data Options'!$R$1:$S$100,2,FALSE), " ")</f>
        <v xml:space="preserve"> </v>
      </c>
      <c r="R139" s="32"/>
      <c r="S139" s="32"/>
      <c r="T139" s="53"/>
      <c r="U139" s="21" t="str">
        <f>IFERROR(VLOOKUP(February[[#This Row],[Drug Name2]],'Data Options'!$R$1:$S$100,2,FALSE), " ")</f>
        <v xml:space="preserve"> </v>
      </c>
      <c r="V139" s="32"/>
      <c r="W139" s="32"/>
      <c r="X139" s="53"/>
      <c r="Y139" s="21" t="str">
        <f>IFERROR(VLOOKUP(February[[#This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21" t="str">
        <f>IFERROR(VLOOKUP(February[[#This Row],[Drug Name4]],'Data Options'!$R$1:$S$100,2,FALSE), " ")</f>
        <v xml:space="preserve"> </v>
      </c>
      <c r="AI139" s="32"/>
      <c r="AJ139" s="32"/>
      <c r="AK139" s="53"/>
      <c r="AL139" s="21" t="str">
        <f>IFERROR(VLOOKUP(February[[#This Row],[Drug Name5]],'Data Options'!$R$1:$S$100,2,FALSE), " ")</f>
        <v xml:space="preserve"> </v>
      </c>
      <c r="AM139" s="32"/>
      <c r="AN139" s="32"/>
      <c r="AO139" s="53"/>
      <c r="AP139" s="21" t="str">
        <f>IFERROR(VLOOKUP(February[[#This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21" t="str">
        <f>IFERROR(VLOOKUP(February[[#This Row],[Drug Name7]],'Data Options'!$R$1:$S$100,2,FALSE), " ")</f>
        <v xml:space="preserve"> </v>
      </c>
      <c r="AZ139" s="32"/>
      <c r="BA139" s="32"/>
      <c r="BB139" s="53"/>
      <c r="BC139" s="21" t="str">
        <f>IFERROR(VLOOKUP(February[[#This Row],[Drug Name8]],'Data Options'!$R$1:$S$100,2,FALSE), " ")</f>
        <v xml:space="preserve"> </v>
      </c>
      <c r="BD139" s="32"/>
      <c r="BE139" s="32"/>
      <c r="BF139" s="53"/>
      <c r="BG139" s="21" t="str">
        <f>IFERROR(VLOOKUP(February[[#This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21" t="str">
        <f>IFERROR(VLOOKUP(February[[#This Row],[Drug Name]],'Data Options'!$R$1:$S$100,2,FALSE), " ")</f>
        <v xml:space="preserve"> </v>
      </c>
      <c r="R140" s="32"/>
      <c r="S140" s="32"/>
      <c r="T140" s="53"/>
      <c r="U140" s="21" t="str">
        <f>IFERROR(VLOOKUP(February[[#This Row],[Drug Name2]],'Data Options'!$R$1:$S$100,2,FALSE), " ")</f>
        <v xml:space="preserve"> </v>
      </c>
      <c r="V140" s="32"/>
      <c r="W140" s="32"/>
      <c r="X140" s="53"/>
      <c r="Y140" s="21" t="str">
        <f>IFERROR(VLOOKUP(February[[#This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21" t="str">
        <f>IFERROR(VLOOKUP(February[[#This Row],[Drug Name4]],'Data Options'!$R$1:$S$100,2,FALSE), " ")</f>
        <v xml:space="preserve"> </v>
      </c>
      <c r="AI140" s="32"/>
      <c r="AJ140" s="32"/>
      <c r="AK140" s="53"/>
      <c r="AL140" s="21" t="str">
        <f>IFERROR(VLOOKUP(February[[#This Row],[Drug Name5]],'Data Options'!$R$1:$S$100,2,FALSE), " ")</f>
        <v xml:space="preserve"> </v>
      </c>
      <c r="AM140" s="32"/>
      <c r="AN140" s="32"/>
      <c r="AO140" s="53"/>
      <c r="AP140" s="21" t="str">
        <f>IFERROR(VLOOKUP(February[[#This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21" t="str">
        <f>IFERROR(VLOOKUP(February[[#This Row],[Drug Name7]],'Data Options'!$R$1:$S$100,2,FALSE), " ")</f>
        <v xml:space="preserve"> </v>
      </c>
      <c r="AZ140" s="32"/>
      <c r="BA140" s="32"/>
      <c r="BB140" s="53"/>
      <c r="BC140" s="21" t="str">
        <f>IFERROR(VLOOKUP(February[[#This Row],[Drug Name8]],'Data Options'!$R$1:$S$100,2,FALSE), " ")</f>
        <v xml:space="preserve"> </v>
      </c>
      <c r="BD140" s="32"/>
      <c r="BE140" s="32"/>
      <c r="BF140" s="53"/>
      <c r="BG140" s="21" t="str">
        <f>IFERROR(VLOOKUP(February[[#This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21" t="str">
        <f>IFERROR(VLOOKUP(February[[#This Row],[Drug Name]],'Data Options'!$R$1:$S$100,2,FALSE), " ")</f>
        <v xml:space="preserve"> </v>
      </c>
      <c r="R141" s="32"/>
      <c r="S141" s="32"/>
      <c r="T141" s="53"/>
      <c r="U141" s="21" t="str">
        <f>IFERROR(VLOOKUP(February[[#This Row],[Drug Name2]],'Data Options'!$R$1:$S$100,2,FALSE), " ")</f>
        <v xml:space="preserve"> </v>
      </c>
      <c r="V141" s="32"/>
      <c r="W141" s="32"/>
      <c r="X141" s="53"/>
      <c r="Y141" s="21" t="str">
        <f>IFERROR(VLOOKUP(February[[#This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21" t="str">
        <f>IFERROR(VLOOKUP(February[[#This Row],[Drug Name4]],'Data Options'!$R$1:$S$100,2,FALSE), " ")</f>
        <v xml:space="preserve"> </v>
      </c>
      <c r="AI141" s="32"/>
      <c r="AJ141" s="32"/>
      <c r="AK141" s="53"/>
      <c r="AL141" s="21" t="str">
        <f>IFERROR(VLOOKUP(February[[#This Row],[Drug Name5]],'Data Options'!$R$1:$S$100,2,FALSE), " ")</f>
        <v xml:space="preserve"> </v>
      </c>
      <c r="AM141" s="32"/>
      <c r="AN141" s="32"/>
      <c r="AO141" s="53"/>
      <c r="AP141" s="21" t="str">
        <f>IFERROR(VLOOKUP(February[[#This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21" t="str">
        <f>IFERROR(VLOOKUP(February[[#This Row],[Drug Name7]],'Data Options'!$R$1:$S$100,2,FALSE), " ")</f>
        <v xml:space="preserve"> </v>
      </c>
      <c r="AZ141" s="32"/>
      <c r="BA141" s="32"/>
      <c r="BB141" s="53"/>
      <c r="BC141" s="21" t="str">
        <f>IFERROR(VLOOKUP(February[[#This Row],[Drug Name8]],'Data Options'!$R$1:$S$100,2,FALSE), " ")</f>
        <v xml:space="preserve"> </v>
      </c>
      <c r="BD141" s="32"/>
      <c r="BE141" s="32"/>
      <c r="BF141" s="53"/>
      <c r="BG141" s="21" t="str">
        <f>IFERROR(VLOOKUP(February[[#This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21" t="str">
        <f>IFERROR(VLOOKUP(February[[#This Row],[Drug Name]],'Data Options'!$R$1:$S$100,2,FALSE), " ")</f>
        <v xml:space="preserve"> </v>
      </c>
      <c r="R142" s="32"/>
      <c r="S142" s="32"/>
      <c r="T142" s="53"/>
      <c r="U142" s="21" t="str">
        <f>IFERROR(VLOOKUP(February[[#This Row],[Drug Name2]],'Data Options'!$R$1:$S$100,2,FALSE), " ")</f>
        <v xml:space="preserve"> </v>
      </c>
      <c r="V142" s="32"/>
      <c r="W142" s="32"/>
      <c r="X142" s="53"/>
      <c r="Y142" s="21" t="str">
        <f>IFERROR(VLOOKUP(February[[#This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21" t="str">
        <f>IFERROR(VLOOKUP(February[[#This Row],[Drug Name4]],'Data Options'!$R$1:$S$100,2,FALSE), " ")</f>
        <v xml:space="preserve"> </v>
      </c>
      <c r="AI142" s="32"/>
      <c r="AJ142" s="32"/>
      <c r="AK142" s="53"/>
      <c r="AL142" s="21" t="str">
        <f>IFERROR(VLOOKUP(February[[#This Row],[Drug Name5]],'Data Options'!$R$1:$S$100,2,FALSE), " ")</f>
        <v xml:space="preserve"> </v>
      </c>
      <c r="AM142" s="32"/>
      <c r="AN142" s="32"/>
      <c r="AO142" s="53"/>
      <c r="AP142" s="21" t="str">
        <f>IFERROR(VLOOKUP(February[[#This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21" t="str">
        <f>IFERROR(VLOOKUP(February[[#This Row],[Drug Name7]],'Data Options'!$R$1:$S$100,2,FALSE), " ")</f>
        <v xml:space="preserve"> </v>
      </c>
      <c r="AZ142" s="32"/>
      <c r="BA142" s="32"/>
      <c r="BB142" s="53"/>
      <c r="BC142" s="21" t="str">
        <f>IFERROR(VLOOKUP(February[[#This Row],[Drug Name8]],'Data Options'!$R$1:$S$100,2,FALSE), " ")</f>
        <v xml:space="preserve"> </v>
      </c>
      <c r="BD142" s="32"/>
      <c r="BE142" s="32"/>
      <c r="BF142" s="53"/>
      <c r="BG142" s="21" t="str">
        <f>IFERROR(VLOOKUP(February[[#This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21" t="str">
        <f>IFERROR(VLOOKUP(February[[#This Row],[Drug Name]],'Data Options'!$R$1:$S$100,2,FALSE), " ")</f>
        <v xml:space="preserve"> </v>
      </c>
      <c r="R143" s="32"/>
      <c r="S143" s="32"/>
      <c r="T143" s="53"/>
      <c r="U143" s="21" t="str">
        <f>IFERROR(VLOOKUP(February[[#This Row],[Drug Name2]],'Data Options'!$R$1:$S$100,2,FALSE), " ")</f>
        <v xml:space="preserve"> </v>
      </c>
      <c r="V143" s="32"/>
      <c r="W143" s="32"/>
      <c r="X143" s="53"/>
      <c r="Y143" s="21" t="str">
        <f>IFERROR(VLOOKUP(February[[#This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21" t="str">
        <f>IFERROR(VLOOKUP(February[[#This Row],[Drug Name4]],'Data Options'!$R$1:$S$100,2,FALSE), " ")</f>
        <v xml:space="preserve"> </v>
      </c>
      <c r="AI143" s="32"/>
      <c r="AJ143" s="32"/>
      <c r="AK143" s="53"/>
      <c r="AL143" s="21" t="str">
        <f>IFERROR(VLOOKUP(February[[#This Row],[Drug Name5]],'Data Options'!$R$1:$S$100,2,FALSE), " ")</f>
        <v xml:space="preserve"> </v>
      </c>
      <c r="AM143" s="32"/>
      <c r="AN143" s="32"/>
      <c r="AO143" s="53"/>
      <c r="AP143" s="21" t="str">
        <f>IFERROR(VLOOKUP(February[[#This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21" t="str">
        <f>IFERROR(VLOOKUP(February[[#This Row],[Drug Name7]],'Data Options'!$R$1:$S$100,2,FALSE), " ")</f>
        <v xml:space="preserve"> </v>
      </c>
      <c r="AZ143" s="32"/>
      <c r="BA143" s="32"/>
      <c r="BB143" s="53"/>
      <c r="BC143" s="21" t="str">
        <f>IFERROR(VLOOKUP(February[[#This Row],[Drug Name8]],'Data Options'!$R$1:$S$100,2,FALSE), " ")</f>
        <v xml:space="preserve"> </v>
      </c>
      <c r="BD143" s="32"/>
      <c r="BE143" s="32"/>
      <c r="BF143" s="53"/>
      <c r="BG143" s="21" t="str">
        <f>IFERROR(VLOOKUP(February[[#This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21" t="str">
        <f>IFERROR(VLOOKUP(February[[#This Row],[Drug Name]],'Data Options'!$R$1:$S$100,2,FALSE), " ")</f>
        <v xml:space="preserve"> </v>
      </c>
      <c r="R144" s="32"/>
      <c r="S144" s="32"/>
      <c r="T144" s="53"/>
      <c r="U144" s="21" t="str">
        <f>IFERROR(VLOOKUP(February[[#This Row],[Drug Name2]],'Data Options'!$R$1:$S$100,2,FALSE), " ")</f>
        <v xml:space="preserve"> </v>
      </c>
      <c r="V144" s="32"/>
      <c r="W144" s="32"/>
      <c r="X144" s="53"/>
      <c r="Y144" s="21" t="str">
        <f>IFERROR(VLOOKUP(February[[#This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21" t="str">
        <f>IFERROR(VLOOKUP(February[[#This Row],[Drug Name4]],'Data Options'!$R$1:$S$100,2,FALSE), " ")</f>
        <v xml:space="preserve"> </v>
      </c>
      <c r="AI144" s="32"/>
      <c r="AJ144" s="32"/>
      <c r="AK144" s="53"/>
      <c r="AL144" s="21" t="str">
        <f>IFERROR(VLOOKUP(February[[#This Row],[Drug Name5]],'Data Options'!$R$1:$S$100,2,FALSE), " ")</f>
        <v xml:space="preserve"> </v>
      </c>
      <c r="AM144" s="32"/>
      <c r="AN144" s="32"/>
      <c r="AO144" s="53"/>
      <c r="AP144" s="21" t="str">
        <f>IFERROR(VLOOKUP(February[[#This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21" t="str">
        <f>IFERROR(VLOOKUP(February[[#This Row],[Drug Name7]],'Data Options'!$R$1:$S$100,2,FALSE), " ")</f>
        <v xml:space="preserve"> </v>
      </c>
      <c r="AZ144" s="32"/>
      <c r="BA144" s="32"/>
      <c r="BB144" s="53"/>
      <c r="BC144" s="21" t="str">
        <f>IFERROR(VLOOKUP(February[[#This Row],[Drug Name8]],'Data Options'!$R$1:$S$100,2,FALSE), " ")</f>
        <v xml:space="preserve"> </v>
      </c>
      <c r="BD144" s="32"/>
      <c r="BE144" s="32"/>
      <c r="BF144" s="53"/>
      <c r="BG144" s="21" t="str">
        <f>IFERROR(VLOOKUP(February[[#This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21" t="str">
        <f>IFERROR(VLOOKUP(February[[#This Row],[Drug Name]],'Data Options'!$R$1:$S$100,2,FALSE), " ")</f>
        <v xml:space="preserve"> </v>
      </c>
      <c r="R145" s="32"/>
      <c r="S145" s="32"/>
      <c r="T145" s="53"/>
      <c r="U145" s="21" t="str">
        <f>IFERROR(VLOOKUP(February[[#This Row],[Drug Name2]],'Data Options'!$R$1:$S$100,2,FALSE), " ")</f>
        <v xml:space="preserve"> </v>
      </c>
      <c r="V145" s="32"/>
      <c r="W145" s="32"/>
      <c r="X145" s="53"/>
      <c r="Y145" s="21" t="str">
        <f>IFERROR(VLOOKUP(February[[#This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21" t="str">
        <f>IFERROR(VLOOKUP(February[[#This Row],[Drug Name4]],'Data Options'!$R$1:$S$100,2,FALSE), " ")</f>
        <v xml:space="preserve"> </v>
      </c>
      <c r="AI145" s="32"/>
      <c r="AJ145" s="32"/>
      <c r="AK145" s="53"/>
      <c r="AL145" s="21" t="str">
        <f>IFERROR(VLOOKUP(February[[#This Row],[Drug Name5]],'Data Options'!$R$1:$S$100,2,FALSE), " ")</f>
        <v xml:space="preserve"> </v>
      </c>
      <c r="AM145" s="32"/>
      <c r="AN145" s="32"/>
      <c r="AO145" s="53"/>
      <c r="AP145" s="21" t="str">
        <f>IFERROR(VLOOKUP(February[[#This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21" t="str">
        <f>IFERROR(VLOOKUP(February[[#This Row],[Drug Name7]],'Data Options'!$R$1:$S$100,2,FALSE), " ")</f>
        <v xml:space="preserve"> </v>
      </c>
      <c r="AZ145" s="32"/>
      <c r="BA145" s="32"/>
      <c r="BB145" s="53"/>
      <c r="BC145" s="21" t="str">
        <f>IFERROR(VLOOKUP(February[[#This Row],[Drug Name8]],'Data Options'!$R$1:$S$100,2,FALSE), " ")</f>
        <v xml:space="preserve"> </v>
      </c>
      <c r="BD145" s="32"/>
      <c r="BE145" s="32"/>
      <c r="BF145" s="53"/>
      <c r="BG145" s="21" t="str">
        <f>IFERROR(VLOOKUP(February[[#This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21" t="str">
        <f>IFERROR(VLOOKUP(February[[#This Row],[Drug Name]],'Data Options'!$R$1:$S$100,2,FALSE), " ")</f>
        <v xml:space="preserve"> </v>
      </c>
      <c r="R146" s="32"/>
      <c r="S146" s="32"/>
      <c r="T146" s="53"/>
      <c r="U146" s="21" t="str">
        <f>IFERROR(VLOOKUP(February[[#This Row],[Drug Name2]],'Data Options'!$R$1:$S$100,2,FALSE), " ")</f>
        <v xml:space="preserve"> </v>
      </c>
      <c r="V146" s="32"/>
      <c r="W146" s="32"/>
      <c r="X146" s="53"/>
      <c r="Y146" s="21" t="str">
        <f>IFERROR(VLOOKUP(February[[#This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21" t="str">
        <f>IFERROR(VLOOKUP(February[[#This Row],[Drug Name4]],'Data Options'!$R$1:$S$100,2,FALSE), " ")</f>
        <v xml:space="preserve"> </v>
      </c>
      <c r="AI146" s="32"/>
      <c r="AJ146" s="32"/>
      <c r="AK146" s="53"/>
      <c r="AL146" s="21" t="str">
        <f>IFERROR(VLOOKUP(February[[#This Row],[Drug Name5]],'Data Options'!$R$1:$S$100,2,FALSE), " ")</f>
        <v xml:space="preserve"> </v>
      </c>
      <c r="AM146" s="32"/>
      <c r="AN146" s="32"/>
      <c r="AO146" s="53"/>
      <c r="AP146" s="21" t="str">
        <f>IFERROR(VLOOKUP(February[[#This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21" t="str">
        <f>IFERROR(VLOOKUP(February[[#This Row],[Drug Name7]],'Data Options'!$R$1:$S$100,2,FALSE), " ")</f>
        <v xml:space="preserve"> </v>
      </c>
      <c r="AZ146" s="32"/>
      <c r="BA146" s="32"/>
      <c r="BB146" s="53"/>
      <c r="BC146" s="21" t="str">
        <f>IFERROR(VLOOKUP(February[[#This Row],[Drug Name8]],'Data Options'!$R$1:$S$100,2,FALSE), " ")</f>
        <v xml:space="preserve"> </v>
      </c>
      <c r="BD146" s="32"/>
      <c r="BE146" s="32"/>
      <c r="BF146" s="53"/>
      <c r="BG146" s="21" t="str">
        <f>IFERROR(VLOOKUP(February[[#This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21" t="str">
        <f>IFERROR(VLOOKUP(February[[#This Row],[Drug Name]],'Data Options'!$R$1:$S$100,2,FALSE), " ")</f>
        <v xml:space="preserve"> </v>
      </c>
      <c r="R147" s="32"/>
      <c r="S147" s="32"/>
      <c r="T147" s="53"/>
      <c r="U147" s="21" t="str">
        <f>IFERROR(VLOOKUP(February[[#This Row],[Drug Name2]],'Data Options'!$R$1:$S$100,2,FALSE), " ")</f>
        <v xml:space="preserve"> </v>
      </c>
      <c r="V147" s="32"/>
      <c r="W147" s="32"/>
      <c r="X147" s="53"/>
      <c r="Y147" s="21" t="str">
        <f>IFERROR(VLOOKUP(February[[#This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21" t="str">
        <f>IFERROR(VLOOKUP(February[[#This Row],[Drug Name4]],'Data Options'!$R$1:$S$100,2,FALSE), " ")</f>
        <v xml:space="preserve"> </v>
      </c>
      <c r="AI147" s="32"/>
      <c r="AJ147" s="32"/>
      <c r="AK147" s="53"/>
      <c r="AL147" s="21" t="str">
        <f>IFERROR(VLOOKUP(February[[#This Row],[Drug Name5]],'Data Options'!$R$1:$S$100,2,FALSE), " ")</f>
        <v xml:space="preserve"> </v>
      </c>
      <c r="AM147" s="32"/>
      <c r="AN147" s="32"/>
      <c r="AO147" s="53"/>
      <c r="AP147" s="21" t="str">
        <f>IFERROR(VLOOKUP(February[[#This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21" t="str">
        <f>IFERROR(VLOOKUP(February[[#This Row],[Drug Name7]],'Data Options'!$R$1:$S$100,2,FALSE), " ")</f>
        <v xml:space="preserve"> </v>
      </c>
      <c r="AZ147" s="32"/>
      <c r="BA147" s="32"/>
      <c r="BB147" s="53"/>
      <c r="BC147" s="21" t="str">
        <f>IFERROR(VLOOKUP(February[[#This Row],[Drug Name8]],'Data Options'!$R$1:$S$100,2,FALSE), " ")</f>
        <v xml:space="preserve"> </v>
      </c>
      <c r="BD147" s="32"/>
      <c r="BE147" s="32"/>
      <c r="BF147" s="53"/>
      <c r="BG147" s="21" t="str">
        <f>IFERROR(VLOOKUP(February[[#This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21" t="str">
        <f>IFERROR(VLOOKUP(February[[#This Row],[Drug Name]],'Data Options'!$R$1:$S$100,2,FALSE), " ")</f>
        <v xml:space="preserve"> </v>
      </c>
      <c r="R148" s="32"/>
      <c r="S148" s="32"/>
      <c r="T148" s="53"/>
      <c r="U148" s="21" t="str">
        <f>IFERROR(VLOOKUP(February[[#This Row],[Drug Name2]],'Data Options'!$R$1:$S$100,2,FALSE), " ")</f>
        <v xml:space="preserve"> </v>
      </c>
      <c r="V148" s="32"/>
      <c r="W148" s="32"/>
      <c r="X148" s="53"/>
      <c r="Y148" s="21" t="str">
        <f>IFERROR(VLOOKUP(February[[#This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21" t="str">
        <f>IFERROR(VLOOKUP(February[[#This Row],[Drug Name4]],'Data Options'!$R$1:$S$100,2,FALSE), " ")</f>
        <v xml:space="preserve"> </v>
      </c>
      <c r="AI148" s="32"/>
      <c r="AJ148" s="32"/>
      <c r="AK148" s="53"/>
      <c r="AL148" s="21" t="str">
        <f>IFERROR(VLOOKUP(February[[#This Row],[Drug Name5]],'Data Options'!$R$1:$S$100,2,FALSE), " ")</f>
        <v xml:space="preserve"> </v>
      </c>
      <c r="AM148" s="32"/>
      <c r="AN148" s="32"/>
      <c r="AO148" s="53"/>
      <c r="AP148" s="21" t="str">
        <f>IFERROR(VLOOKUP(February[[#This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21" t="str">
        <f>IFERROR(VLOOKUP(February[[#This Row],[Drug Name7]],'Data Options'!$R$1:$S$100,2,FALSE), " ")</f>
        <v xml:space="preserve"> </v>
      </c>
      <c r="AZ148" s="32"/>
      <c r="BA148" s="32"/>
      <c r="BB148" s="53"/>
      <c r="BC148" s="21" t="str">
        <f>IFERROR(VLOOKUP(February[[#This Row],[Drug Name8]],'Data Options'!$R$1:$S$100,2,FALSE), " ")</f>
        <v xml:space="preserve"> </v>
      </c>
      <c r="BD148" s="32"/>
      <c r="BE148" s="32"/>
      <c r="BF148" s="53"/>
      <c r="BG148" s="21" t="str">
        <f>IFERROR(VLOOKUP(February[[#This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21" t="str">
        <f>IFERROR(VLOOKUP(February[[#This Row],[Drug Name]],'Data Options'!$R$1:$S$100,2,FALSE), " ")</f>
        <v xml:space="preserve"> </v>
      </c>
      <c r="R149" s="32"/>
      <c r="S149" s="32"/>
      <c r="T149" s="53"/>
      <c r="U149" s="21" t="str">
        <f>IFERROR(VLOOKUP(February[[#This Row],[Drug Name2]],'Data Options'!$R$1:$S$100,2,FALSE), " ")</f>
        <v xml:space="preserve"> </v>
      </c>
      <c r="V149" s="32"/>
      <c r="W149" s="32"/>
      <c r="X149" s="53"/>
      <c r="Y149" s="21" t="str">
        <f>IFERROR(VLOOKUP(February[[#This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21" t="str">
        <f>IFERROR(VLOOKUP(February[[#This Row],[Drug Name4]],'Data Options'!$R$1:$S$100,2,FALSE), " ")</f>
        <v xml:space="preserve"> </v>
      </c>
      <c r="AI149" s="32"/>
      <c r="AJ149" s="32"/>
      <c r="AK149" s="53"/>
      <c r="AL149" s="21" t="str">
        <f>IFERROR(VLOOKUP(February[[#This Row],[Drug Name5]],'Data Options'!$R$1:$S$100,2,FALSE), " ")</f>
        <v xml:space="preserve"> </v>
      </c>
      <c r="AM149" s="32"/>
      <c r="AN149" s="32"/>
      <c r="AO149" s="53"/>
      <c r="AP149" s="21" t="str">
        <f>IFERROR(VLOOKUP(February[[#This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21" t="str">
        <f>IFERROR(VLOOKUP(February[[#This Row],[Drug Name7]],'Data Options'!$R$1:$S$100,2,FALSE), " ")</f>
        <v xml:space="preserve"> </v>
      </c>
      <c r="AZ149" s="32"/>
      <c r="BA149" s="32"/>
      <c r="BB149" s="53"/>
      <c r="BC149" s="21" t="str">
        <f>IFERROR(VLOOKUP(February[[#This Row],[Drug Name8]],'Data Options'!$R$1:$S$100,2,FALSE), " ")</f>
        <v xml:space="preserve"> </v>
      </c>
      <c r="BD149" s="32"/>
      <c r="BE149" s="32"/>
      <c r="BF149" s="53"/>
      <c r="BG149" s="21" t="str">
        <f>IFERROR(VLOOKUP(February[[#This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21" t="str">
        <f>IFERROR(VLOOKUP(February[[#This Row],[Drug Name]],'Data Options'!$R$1:$S$100,2,FALSE), " ")</f>
        <v xml:space="preserve"> </v>
      </c>
      <c r="R150" s="32"/>
      <c r="S150" s="32"/>
      <c r="T150" s="53"/>
      <c r="U150" s="21" t="str">
        <f>IFERROR(VLOOKUP(February[[#This Row],[Drug Name2]],'Data Options'!$R$1:$S$100,2,FALSE), " ")</f>
        <v xml:space="preserve"> </v>
      </c>
      <c r="V150" s="32"/>
      <c r="W150" s="32"/>
      <c r="X150" s="53"/>
      <c r="Y150" s="21" t="str">
        <f>IFERROR(VLOOKUP(February[[#This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21" t="str">
        <f>IFERROR(VLOOKUP(February[[#This Row],[Drug Name4]],'Data Options'!$R$1:$S$100,2,FALSE), " ")</f>
        <v xml:space="preserve"> </v>
      </c>
      <c r="AI150" s="32"/>
      <c r="AJ150" s="32"/>
      <c r="AK150" s="53"/>
      <c r="AL150" s="21" t="str">
        <f>IFERROR(VLOOKUP(February[[#This Row],[Drug Name5]],'Data Options'!$R$1:$S$100,2,FALSE), " ")</f>
        <v xml:space="preserve"> </v>
      </c>
      <c r="AM150" s="32"/>
      <c r="AN150" s="32"/>
      <c r="AO150" s="53"/>
      <c r="AP150" s="21" t="str">
        <f>IFERROR(VLOOKUP(February[[#This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21" t="str">
        <f>IFERROR(VLOOKUP(February[[#This Row],[Drug Name7]],'Data Options'!$R$1:$S$100,2,FALSE), " ")</f>
        <v xml:space="preserve"> </v>
      </c>
      <c r="AZ150" s="32"/>
      <c r="BA150" s="32"/>
      <c r="BB150" s="53"/>
      <c r="BC150" s="21" t="str">
        <f>IFERROR(VLOOKUP(February[[#This Row],[Drug Name8]],'Data Options'!$R$1:$S$100,2,FALSE), " ")</f>
        <v xml:space="preserve"> </v>
      </c>
      <c r="BD150" s="32"/>
      <c r="BE150" s="32"/>
      <c r="BF150" s="53"/>
      <c r="BG150" s="21" t="str">
        <f>IFERROR(VLOOKUP(February[[#This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21" t="str">
        <f>IFERROR(VLOOKUP(February[[#This Row],[Drug Name]],'Data Options'!$R$1:$S$100,2,FALSE), " ")</f>
        <v xml:space="preserve"> </v>
      </c>
      <c r="R151" s="32"/>
      <c r="S151" s="32"/>
      <c r="T151" s="53"/>
      <c r="U151" s="21" t="str">
        <f>IFERROR(VLOOKUP(February[[#This Row],[Drug Name2]],'Data Options'!$R$1:$S$100,2,FALSE), " ")</f>
        <v xml:space="preserve"> </v>
      </c>
      <c r="V151" s="32"/>
      <c r="W151" s="32"/>
      <c r="X151" s="53"/>
      <c r="Y151" s="21" t="str">
        <f>IFERROR(VLOOKUP(February[[#This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21" t="str">
        <f>IFERROR(VLOOKUP(February[[#This Row],[Drug Name4]],'Data Options'!$R$1:$S$100,2,FALSE), " ")</f>
        <v xml:space="preserve"> </v>
      </c>
      <c r="AI151" s="32"/>
      <c r="AJ151" s="32"/>
      <c r="AK151" s="53"/>
      <c r="AL151" s="21" t="str">
        <f>IFERROR(VLOOKUP(February[[#This Row],[Drug Name5]],'Data Options'!$R$1:$S$100,2,FALSE), " ")</f>
        <v xml:space="preserve"> </v>
      </c>
      <c r="AM151" s="32"/>
      <c r="AN151" s="32"/>
      <c r="AO151" s="53"/>
      <c r="AP151" s="21" t="str">
        <f>IFERROR(VLOOKUP(February[[#This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21" t="str">
        <f>IFERROR(VLOOKUP(February[[#This Row],[Drug Name7]],'Data Options'!$R$1:$S$100,2,FALSE), " ")</f>
        <v xml:space="preserve"> </v>
      </c>
      <c r="AZ151" s="32"/>
      <c r="BA151" s="32"/>
      <c r="BB151" s="53"/>
      <c r="BC151" s="21" t="str">
        <f>IFERROR(VLOOKUP(February[[#This Row],[Drug Name8]],'Data Options'!$R$1:$S$100,2,FALSE), " ")</f>
        <v xml:space="preserve"> </v>
      </c>
      <c r="BD151" s="32"/>
      <c r="BE151" s="32"/>
      <c r="BF151" s="53"/>
      <c r="BG151" s="21" t="str">
        <f>IFERROR(VLOOKUP(February[[#This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21" t="str">
        <f>IFERROR(VLOOKUP(February[[#This Row],[Drug Name]],'Data Options'!$R$1:$S$100,2,FALSE), " ")</f>
        <v xml:space="preserve"> </v>
      </c>
      <c r="R152" s="32"/>
      <c r="S152" s="32"/>
      <c r="T152" s="53"/>
      <c r="U152" s="21" t="str">
        <f>IFERROR(VLOOKUP(February[[#This Row],[Drug Name2]],'Data Options'!$R$1:$S$100,2,FALSE), " ")</f>
        <v xml:space="preserve"> </v>
      </c>
      <c r="V152" s="32"/>
      <c r="W152" s="32"/>
      <c r="X152" s="53"/>
      <c r="Y152" s="21" t="str">
        <f>IFERROR(VLOOKUP(February[[#This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21" t="str">
        <f>IFERROR(VLOOKUP(February[[#This Row],[Drug Name4]],'Data Options'!$R$1:$S$100,2,FALSE), " ")</f>
        <v xml:space="preserve"> </v>
      </c>
      <c r="AI152" s="32"/>
      <c r="AJ152" s="32"/>
      <c r="AK152" s="53"/>
      <c r="AL152" s="21" t="str">
        <f>IFERROR(VLOOKUP(February[[#This Row],[Drug Name5]],'Data Options'!$R$1:$S$100,2,FALSE), " ")</f>
        <v xml:space="preserve"> </v>
      </c>
      <c r="AM152" s="32"/>
      <c r="AN152" s="32"/>
      <c r="AO152" s="53"/>
      <c r="AP152" s="21" t="str">
        <f>IFERROR(VLOOKUP(February[[#This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21" t="str">
        <f>IFERROR(VLOOKUP(February[[#This Row],[Drug Name7]],'Data Options'!$R$1:$S$100,2,FALSE), " ")</f>
        <v xml:space="preserve"> </v>
      </c>
      <c r="AZ152" s="32"/>
      <c r="BA152" s="32"/>
      <c r="BB152" s="53"/>
      <c r="BC152" s="21" t="str">
        <f>IFERROR(VLOOKUP(February[[#This Row],[Drug Name8]],'Data Options'!$R$1:$S$100,2,FALSE), " ")</f>
        <v xml:space="preserve"> </v>
      </c>
      <c r="BD152" s="32"/>
      <c r="BE152" s="32"/>
      <c r="BF152" s="53"/>
      <c r="BG152" s="21" t="str">
        <f>IFERROR(VLOOKUP(February[[#This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21" t="str">
        <f>IFERROR(VLOOKUP(February[[#This Row],[Drug Name]],'Data Options'!$R$1:$S$100,2,FALSE), " ")</f>
        <v xml:space="preserve"> </v>
      </c>
      <c r="R153" s="32"/>
      <c r="S153" s="32"/>
      <c r="T153" s="53"/>
      <c r="U153" s="21" t="str">
        <f>IFERROR(VLOOKUP(February[[#This Row],[Drug Name2]],'Data Options'!$R$1:$S$100,2,FALSE), " ")</f>
        <v xml:space="preserve"> </v>
      </c>
      <c r="V153" s="32"/>
      <c r="W153" s="32"/>
      <c r="X153" s="53"/>
      <c r="Y153" s="21" t="str">
        <f>IFERROR(VLOOKUP(February[[#This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21" t="str">
        <f>IFERROR(VLOOKUP(February[[#This Row],[Drug Name4]],'Data Options'!$R$1:$S$100,2,FALSE), " ")</f>
        <v xml:space="preserve"> </v>
      </c>
      <c r="AI153" s="32"/>
      <c r="AJ153" s="32"/>
      <c r="AK153" s="53"/>
      <c r="AL153" s="21" t="str">
        <f>IFERROR(VLOOKUP(February[[#This Row],[Drug Name5]],'Data Options'!$R$1:$S$100,2,FALSE), " ")</f>
        <v xml:space="preserve"> </v>
      </c>
      <c r="AM153" s="32"/>
      <c r="AN153" s="32"/>
      <c r="AO153" s="53"/>
      <c r="AP153" s="21" t="str">
        <f>IFERROR(VLOOKUP(February[[#This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21" t="str">
        <f>IFERROR(VLOOKUP(February[[#This Row],[Drug Name7]],'Data Options'!$R$1:$S$100,2,FALSE), " ")</f>
        <v xml:space="preserve"> </v>
      </c>
      <c r="AZ153" s="32"/>
      <c r="BA153" s="32"/>
      <c r="BB153" s="53"/>
      <c r="BC153" s="21" t="str">
        <f>IFERROR(VLOOKUP(February[[#This Row],[Drug Name8]],'Data Options'!$R$1:$S$100,2,FALSE), " ")</f>
        <v xml:space="preserve"> </v>
      </c>
      <c r="BD153" s="32"/>
      <c r="BE153" s="32"/>
      <c r="BF153" s="53"/>
      <c r="BG153" s="21" t="str">
        <f>IFERROR(VLOOKUP(February[[#This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21" t="str">
        <f>IFERROR(VLOOKUP(February[[#This Row],[Drug Name]],'Data Options'!$R$1:$S$100,2,FALSE), " ")</f>
        <v xml:space="preserve"> </v>
      </c>
      <c r="R154" s="32"/>
      <c r="S154" s="32"/>
      <c r="T154" s="53"/>
      <c r="U154" s="21" t="str">
        <f>IFERROR(VLOOKUP(February[[#This Row],[Drug Name2]],'Data Options'!$R$1:$S$100,2,FALSE), " ")</f>
        <v xml:space="preserve"> </v>
      </c>
      <c r="V154" s="32"/>
      <c r="W154" s="32"/>
      <c r="X154" s="53"/>
      <c r="Y154" s="21" t="str">
        <f>IFERROR(VLOOKUP(February[[#This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21" t="str">
        <f>IFERROR(VLOOKUP(February[[#This Row],[Drug Name4]],'Data Options'!$R$1:$S$100,2,FALSE), " ")</f>
        <v xml:space="preserve"> </v>
      </c>
      <c r="AI154" s="32"/>
      <c r="AJ154" s="32"/>
      <c r="AK154" s="53"/>
      <c r="AL154" s="21" t="str">
        <f>IFERROR(VLOOKUP(February[[#This Row],[Drug Name5]],'Data Options'!$R$1:$S$100,2,FALSE), " ")</f>
        <v xml:space="preserve"> </v>
      </c>
      <c r="AM154" s="32"/>
      <c r="AN154" s="32"/>
      <c r="AO154" s="53"/>
      <c r="AP154" s="21" t="str">
        <f>IFERROR(VLOOKUP(February[[#This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21" t="str">
        <f>IFERROR(VLOOKUP(February[[#This Row],[Drug Name7]],'Data Options'!$R$1:$S$100,2,FALSE), " ")</f>
        <v xml:space="preserve"> </v>
      </c>
      <c r="AZ154" s="32"/>
      <c r="BA154" s="32"/>
      <c r="BB154" s="53"/>
      <c r="BC154" s="21" t="str">
        <f>IFERROR(VLOOKUP(February[[#This Row],[Drug Name8]],'Data Options'!$R$1:$S$100,2,FALSE), " ")</f>
        <v xml:space="preserve"> </v>
      </c>
      <c r="BD154" s="32"/>
      <c r="BE154" s="32"/>
      <c r="BF154" s="53"/>
      <c r="BG154" s="21" t="str">
        <f>IFERROR(VLOOKUP(February[[#This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21" t="str">
        <f>IFERROR(VLOOKUP(February[[#This Row],[Drug Name]],'Data Options'!$R$1:$S$100,2,FALSE), " ")</f>
        <v xml:space="preserve"> </v>
      </c>
      <c r="R155" s="32"/>
      <c r="S155" s="32"/>
      <c r="T155" s="53"/>
      <c r="U155" s="21" t="str">
        <f>IFERROR(VLOOKUP(February[[#This Row],[Drug Name2]],'Data Options'!$R$1:$S$100,2,FALSE), " ")</f>
        <v xml:space="preserve"> </v>
      </c>
      <c r="V155" s="32"/>
      <c r="W155" s="32"/>
      <c r="X155" s="53"/>
      <c r="Y155" s="21" t="str">
        <f>IFERROR(VLOOKUP(February[[#This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21" t="str">
        <f>IFERROR(VLOOKUP(February[[#This Row],[Drug Name4]],'Data Options'!$R$1:$S$100,2,FALSE), " ")</f>
        <v xml:space="preserve"> </v>
      </c>
      <c r="AI155" s="32"/>
      <c r="AJ155" s="32"/>
      <c r="AK155" s="53"/>
      <c r="AL155" s="21" t="str">
        <f>IFERROR(VLOOKUP(February[[#This Row],[Drug Name5]],'Data Options'!$R$1:$S$100,2,FALSE), " ")</f>
        <v xml:space="preserve"> </v>
      </c>
      <c r="AM155" s="32"/>
      <c r="AN155" s="32"/>
      <c r="AO155" s="53"/>
      <c r="AP155" s="21" t="str">
        <f>IFERROR(VLOOKUP(February[[#This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21" t="str">
        <f>IFERROR(VLOOKUP(February[[#This Row],[Drug Name7]],'Data Options'!$R$1:$S$100,2,FALSE), " ")</f>
        <v xml:space="preserve"> </v>
      </c>
      <c r="AZ155" s="32"/>
      <c r="BA155" s="32"/>
      <c r="BB155" s="53"/>
      <c r="BC155" s="21" t="str">
        <f>IFERROR(VLOOKUP(February[[#This Row],[Drug Name8]],'Data Options'!$R$1:$S$100,2,FALSE), " ")</f>
        <v xml:space="preserve"> </v>
      </c>
      <c r="BD155" s="32"/>
      <c r="BE155" s="32"/>
      <c r="BF155" s="53"/>
      <c r="BG155" s="21" t="str">
        <f>IFERROR(VLOOKUP(February[[#This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21" t="str">
        <f>IFERROR(VLOOKUP(February[[#This Row],[Drug Name]],'Data Options'!$R$1:$S$100,2,FALSE), " ")</f>
        <v xml:space="preserve"> </v>
      </c>
      <c r="R156" s="32"/>
      <c r="S156" s="32"/>
      <c r="T156" s="53"/>
      <c r="U156" s="21" t="str">
        <f>IFERROR(VLOOKUP(February[[#This Row],[Drug Name2]],'Data Options'!$R$1:$S$100,2,FALSE), " ")</f>
        <v xml:space="preserve"> </v>
      </c>
      <c r="V156" s="32"/>
      <c r="W156" s="32"/>
      <c r="X156" s="53"/>
      <c r="Y156" s="21" t="str">
        <f>IFERROR(VLOOKUP(February[[#This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21" t="str">
        <f>IFERROR(VLOOKUP(February[[#This Row],[Drug Name4]],'Data Options'!$R$1:$S$100,2,FALSE), " ")</f>
        <v xml:space="preserve"> </v>
      </c>
      <c r="AI156" s="32"/>
      <c r="AJ156" s="32"/>
      <c r="AK156" s="53"/>
      <c r="AL156" s="21" t="str">
        <f>IFERROR(VLOOKUP(February[[#This Row],[Drug Name5]],'Data Options'!$R$1:$S$100,2,FALSE), " ")</f>
        <v xml:space="preserve"> </v>
      </c>
      <c r="AM156" s="32"/>
      <c r="AN156" s="32"/>
      <c r="AO156" s="53"/>
      <c r="AP156" s="21" t="str">
        <f>IFERROR(VLOOKUP(February[[#This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21" t="str">
        <f>IFERROR(VLOOKUP(February[[#This Row],[Drug Name7]],'Data Options'!$R$1:$S$100,2,FALSE), " ")</f>
        <v xml:space="preserve"> </v>
      </c>
      <c r="AZ156" s="32"/>
      <c r="BA156" s="32"/>
      <c r="BB156" s="53"/>
      <c r="BC156" s="21" t="str">
        <f>IFERROR(VLOOKUP(February[[#This Row],[Drug Name8]],'Data Options'!$R$1:$S$100,2,FALSE), " ")</f>
        <v xml:space="preserve"> </v>
      </c>
      <c r="BD156" s="32"/>
      <c r="BE156" s="32"/>
      <c r="BF156" s="53"/>
      <c r="BG156" s="21" t="str">
        <f>IFERROR(VLOOKUP(February[[#This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21" t="str">
        <f>IFERROR(VLOOKUP(February[[#This Row],[Drug Name]],'Data Options'!$R$1:$S$100,2,FALSE), " ")</f>
        <v xml:space="preserve"> </v>
      </c>
      <c r="R157" s="32"/>
      <c r="S157" s="32"/>
      <c r="T157" s="53"/>
      <c r="U157" s="21" t="str">
        <f>IFERROR(VLOOKUP(February[[#This Row],[Drug Name2]],'Data Options'!$R$1:$S$100,2,FALSE), " ")</f>
        <v xml:space="preserve"> </v>
      </c>
      <c r="V157" s="32"/>
      <c r="W157" s="32"/>
      <c r="X157" s="53"/>
      <c r="Y157" s="21" t="str">
        <f>IFERROR(VLOOKUP(February[[#This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21" t="str">
        <f>IFERROR(VLOOKUP(February[[#This Row],[Drug Name4]],'Data Options'!$R$1:$S$100,2,FALSE), " ")</f>
        <v xml:space="preserve"> </v>
      </c>
      <c r="AI157" s="32"/>
      <c r="AJ157" s="32"/>
      <c r="AK157" s="53"/>
      <c r="AL157" s="21" t="str">
        <f>IFERROR(VLOOKUP(February[[#This Row],[Drug Name5]],'Data Options'!$R$1:$S$100,2,FALSE), " ")</f>
        <v xml:space="preserve"> </v>
      </c>
      <c r="AM157" s="32"/>
      <c r="AN157" s="32"/>
      <c r="AO157" s="53"/>
      <c r="AP157" s="21" t="str">
        <f>IFERROR(VLOOKUP(February[[#This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21" t="str">
        <f>IFERROR(VLOOKUP(February[[#This Row],[Drug Name7]],'Data Options'!$R$1:$S$100,2,FALSE), " ")</f>
        <v xml:space="preserve"> </v>
      </c>
      <c r="AZ157" s="32"/>
      <c r="BA157" s="32"/>
      <c r="BB157" s="53"/>
      <c r="BC157" s="21" t="str">
        <f>IFERROR(VLOOKUP(February[[#This Row],[Drug Name8]],'Data Options'!$R$1:$S$100,2,FALSE), " ")</f>
        <v xml:space="preserve"> </v>
      </c>
      <c r="BD157" s="32"/>
      <c r="BE157" s="32"/>
      <c r="BF157" s="53"/>
      <c r="BG157" s="21" t="str">
        <f>IFERROR(VLOOKUP(February[[#This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21" t="str">
        <f>IFERROR(VLOOKUP(February[[#This Row],[Drug Name]],'Data Options'!$R$1:$S$100,2,FALSE), " ")</f>
        <v xml:space="preserve"> </v>
      </c>
      <c r="R158" s="32"/>
      <c r="S158" s="32"/>
      <c r="T158" s="53"/>
      <c r="U158" s="21" t="str">
        <f>IFERROR(VLOOKUP(February[[#This Row],[Drug Name2]],'Data Options'!$R$1:$S$100,2,FALSE), " ")</f>
        <v xml:space="preserve"> </v>
      </c>
      <c r="V158" s="32"/>
      <c r="W158" s="32"/>
      <c r="X158" s="53"/>
      <c r="Y158" s="21" t="str">
        <f>IFERROR(VLOOKUP(February[[#This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21" t="str">
        <f>IFERROR(VLOOKUP(February[[#This Row],[Drug Name4]],'Data Options'!$R$1:$S$100,2,FALSE), " ")</f>
        <v xml:space="preserve"> </v>
      </c>
      <c r="AI158" s="32"/>
      <c r="AJ158" s="32"/>
      <c r="AK158" s="53"/>
      <c r="AL158" s="21" t="str">
        <f>IFERROR(VLOOKUP(February[[#This Row],[Drug Name5]],'Data Options'!$R$1:$S$100,2,FALSE), " ")</f>
        <v xml:space="preserve"> </v>
      </c>
      <c r="AM158" s="32"/>
      <c r="AN158" s="32"/>
      <c r="AO158" s="53"/>
      <c r="AP158" s="21" t="str">
        <f>IFERROR(VLOOKUP(February[[#This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21" t="str">
        <f>IFERROR(VLOOKUP(February[[#This Row],[Drug Name7]],'Data Options'!$R$1:$S$100,2,FALSE), " ")</f>
        <v xml:space="preserve"> </v>
      </c>
      <c r="AZ158" s="32"/>
      <c r="BA158" s="32"/>
      <c r="BB158" s="53"/>
      <c r="BC158" s="21" t="str">
        <f>IFERROR(VLOOKUP(February[[#This Row],[Drug Name8]],'Data Options'!$R$1:$S$100,2,FALSE), " ")</f>
        <v xml:space="preserve"> </v>
      </c>
      <c r="BD158" s="32"/>
      <c r="BE158" s="32"/>
      <c r="BF158" s="53"/>
      <c r="BG158" s="21" t="str">
        <f>IFERROR(VLOOKUP(February[[#This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21" t="str">
        <f>IFERROR(VLOOKUP(February[[#This Row],[Drug Name]],'Data Options'!$R$1:$S$100,2,FALSE), " ")</f>
        <v xml:space="preserve"> </v>
      </c>
      <c r="R159" s="32"/>
      <c r="S159" s="32"/>
      <c r="T159" s="53"/>
      <c r="U159" s="21" t="str">
        <f>IFERROR(VLOOKUP(February[[#This Row],[Drug Name2]],'Data Options'!$R$1:$S$100,2,FALSE), " ")</f>
        <v xml:space="preserve"> </v>
      </c>
      <c r="V159" s="32"/>
      <c r="W159" s="32"/>
      <c r="X159" s="53"/>
      <c r="Y159" s="21" t="str">
        <f>IFERROR(VLOOKUP(February[[#This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21" t="str">
        <f>IFERROR(VLOOKUP(February[[#This Row],[Drug Name4]],'Data Options'!$R$1:$S$100,2,FALSE), " ")</f>
        <v xml:space="preserve"> </v>
      </c>
      <c r="AI159" s="32"/>
      <c r="AJ159" s="32"/>
      <c r="AK159" s="53"/>
      <c r="AL159" s="21" t="str">
        <f>IFERROR(VLOOKUP(February[[#This Row],[Drug Name5]],'Data Options'!$R$1:$S$100,2,FALSE), " ")</f>
        <v xml:space="preserve"> </v>
      </c>
      <c r="AM159" s="32"/>
      <c r="AN159" s="32"/>
      <c r="AO159" s="53"/>
      <c r="AP159" s="21" t="str">
        <f>IFERROR(VLOOKUP(February[[#This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21" t="str">
        <f>IFERROR(VLOOKUP(February[[#This Row],[Drug Name7]],'Data Options'!$R$1:$S$100,2,FALSE), " ")</f>
        <v xml:space="preserve"> </v>
      </c>
      <c r="AZ159" s="32"/>
      <c r="BA159" s="32"/>
      <c r="BB159" s="53"/>
      <c r="BC159" s="21" t="str">
        <f>IFERROR(VLOOKUP(February[[#This Row],[Drug Name8]],'Data Options'!$R$1:$S$100,2,FALSE), " ")</f>
        <v xml:space="preserve"> </v>
      </c>
      <c r="BD159" s="32"/>
      <c r="BE159" s="32"/>
      <c r="BF159" s="53"/>
      <c r="BG159" s="21" t="str">
        <f>IFERROR(VLOOKUP(February[[#This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21" t="str">
        <f>IFERROR(VLOOKUP(February[[#This Row],[Drug Name]],'Data Options'!$R$1:$S$100,2,FALSE), " ")</f>
        <v xml:space="preserve"> </v>
      </c>
      <c r="R160" s="32"/>
      <c r="S160" s="32"/>
      <c r="T160" s="53"/>
      <c r="U160" s="21" t="str">
        <f>IFERROR(VLOOKUP(February[[#This Row],[Drug Name2]],'Data Options'!$R$1:$S$100,2,FALSE), " ")</f>
        <v xml:space="preserve"> </v>
      </c>
      <c r="V160" s="32"/>
      <c r="W160" s="32"/>
      <c r="X160" s="53"/>
      <c r="Y160" s="21" t="str">
        <f>IFERROR(VLOOKUP(February[[#This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21" t="str">
        <f>IFERROR(VLOOKUP(February[[#This Row],[Drug Name4]],'Data Options'!$R$1:$S$100,2,FALSE), " ")</f>
        <v xml:space="preserve"> </v>
      </c>
      <c r="AI160" s="32"/>
      <c r="AJ160" s="32"/>
      <c r="AK160" s="53"/>
      <c r="AL160" s="21" t="str">
        <f>IFERROR(VLOOKUP(February[[#This Row],[Drug Name5]],'Data Options'!$R$1:$S$100,2,FALSE), " ")</f>
        <v xml:space="preserve"> </v>
      </c>
      <c r="AM160" s="32"/>
      <c r="AN160" s="32"/>
      <c r="AO160" s="53"/>
      <c r="AP160" s="21" t="str">
        <f>IFERROR(VLOOKUP(February[[#This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21" t="str">
        <f>IFERROR(VLOOKUP(February[[#This Row],[Drug Name7]],'Data Options'!$R$1:$S$100,2,FALSE), " ")</f>
        <v xml:space="preserve"> </v>
      </c>
      <c r="AZ160" s="32"/>
      <c r="BA160" s="32"/>
      <c r="BB160" s="53"/>
      <c r="BC160" s="21" t="str">
        <f>IFERROR(VLOOKUP(February[[#This Row],[Drug Name8]],'Data Options'!$R$1:$S$100,2,FALSE), " ")</f>
        <v xml:space="preserve"> </v>
      </c>
      <c r="BD160" s="32"/>
      <c r="BE160" s="32"/>
      <c r="BF160" s="53"/>
      <c r="BG160" s="21" t="str">
        <f>IFERROR(VLOOKUP(February[[#This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21" t="str">
        <f>IFERROR(VLOOKUP(February[[#This Row],[Drug Name]],'Data Options'!$R$1:$S$100,2,FALSE), " ")</f>
        <v xml:space="preserve"> </v>
      </c>
      <c r="R161" s="32"/>
      <c r="S161" s="32"/>
      <c r="T161" s="53"/>
      <c r="U161" s="21" t="str">
        <f>IFERROR(VLOOKUP(February[[#This Row],[Drug Name2]],'Data Options'!$R$1:$S$100,2,FALSE), " ")</f>
        <v xml:space="preserve"> </v>
      </c>
      <c r="V161" s="32"/>
      <c r="W161" s="32"/>
      <c r="X161" s="53"/>
      <c r="Y161" s="21" t="str">
        <f>IFERROR(VLOOKUP(February[[#This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21" t="str">
        <f>IFERROR(VLOOKUP(February[[#This Row],[Drug Name4]],'Data Options'!$R$1:$S$100,2,FALSE), " ")</f>
        <v xml:space="preserve"> </v>
      </c>
      <c r="AI161" s="32"/>
      <c r="AJ161" s="32"/>
      <c r="AK161" s="53"/>
      <c r="AL161" s="21" t="str">
        <f>IFERROR(VLOOKUP(February[[#This Row],[Drug Name5]],'Data Options'!$R$1:$S$100,2,FALSE), " ")</f>
        <v xml:space="preserve"> </v>
      </c>
      <c r="AM161" s="32"/>
      <c r="AN161" s="32"/>
      <c r="AO161" s="53"/>
      <c r="AP161" s="21" t="str">
        <f>IFERROR(VLOOKUP(February[[#This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21" t="str">
        <f>IFERROR(VLOOKUP(February[[#This Row],[Drug Name7]],'Data Options'!$R$1:$S$100,2,FALSE), " ")</f>
        <v xml:space="preserve"> </v>
      </c>
      <c r="AZ161" s="32"/>
      <c r="BA161" s="32"/>
      <c r="BB161" s="53"/>
      <c r="BC161" s="21" t="str">
        <f>IFERROR(VLOOKUP(February[[#This Row],[Drug Name8]],'Data Options'!$R$1:$S$100,2,FALSE), " ")</f>
        <v xml:space="preserve"> </v>
      </c>
      <c r="BD161" s="32"/>
      <c r="BE161" s="32"/>
      <c r="BF161" s="53"/>
      <c r="BG161" s="21" t="str">
        <f>IFERROR(VLOOKUP(February[[#This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21" t="str">
        <f>IFERROR(VLOOKUP(February[[#This Row],[Drug Name]],'Data Options'!$R$1:$S$100,2,FALSE), " ")</f>
        <v xml:space="preserve"> </v>
      </c>
      <c r="R162" s="32"/>
      <c r="S162" s="32"/>
      <c r="T162" s="53"/>
      <c r="U162" s="21" t="str">
        <f>IFERROR(VLOOKUP(February[[#This Row],[Drug Name2]],'Data Options'!$R$1:$S$100,2,FALSE), " ")</f>
        <v xml:space="preserve"> </v>
      </c>
      <c r="V162" s="32"/>
      <c r="W162" s="32"/>
      <c r="X162" s="53"/>
      <c r="Y162" s="21" t="str">
        <f>IFERROR(VLOOKUP(February[[#This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21" t="str">
        <f>IFERROR(VLOOKUP(February[[#This Row],[Drug Name4]],'Data Options'!$R$1:$S$100,2,FALSE), " ")</f>
        <v xml:space="preserve"> </v>
      </c>
      <c r="AI162" s="32"/>
      <c r="AJ162" s="32"/>
      <c r="AK162" s="53"/>
      <c r="AL162" s="21" t="str">
        <f>IFERROR(VLOOKUP(February[[#This Row],[Drug Name5]],'Data Options'!$R$1:$S$100,2,FALSE), " ")</f>
        <v xml:space="preserve"> </v>
      </c>
      <c r="AM162" s="32"/>
      <c r="AN162" s="32"/>
      <c r="AO162" s="53"/>
      <c r="AP162" s="21" t="str">
        <f>IFERROR(VLOOKUP(February[[#This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21" t="str">
        <f>IFERROR(VLOOKUP(February[[#This Row],[Drug Name7]],'Data Options'!$R$1:$S$100,2,FALSE), " ")</f>
        <v xml:space="preserve"> </v>
      </c>
      <c r="AZ162" s="32"/>
      <c r="BA162" s="32"/>
      <c r="BB162" s="53"/>
      <c r="BC162" s="21" t="str">
        <f>IFERROR(VLOOKUP(February[[#This Row],[Drug Name8]],'Data Options'!$R$1:$S$100,2,FALSE), " ")</f>
        <v xml:space="preserve"> </v>
      </c>
      <c r="BD162" s="32"/>
      <c r="BE162" s="32"/>
      <c r="BF162" s="53"/>
      <c r="BG162" s="21" t="str">
        <f>IFERROR(VLOOKUP(February[[#This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21" t="str">
        <f>IFERROR(VLOOKUP(February[[#This Row],[Drug Name]],'Data Options'!$R$1:$S$100,2,FALSE), " ")</f>
        <v xml:space="preserve"> </v>
      </c>
      <c r="R163" s="32"/>
      <c r="S163" s="32"/>
      <c r="T163" s="53"/>
      <c r="U163" s="21" t="str">
        <f>IFERROR(VLOOKUP(February[[#This Row],[Drug Name2]],'Data Options'!$R$1:$S$100,2,FALSE), " ")</f>
        <v xml:space="preserve"> </v>
      </c>
      <c r="V163" s="32"/>
      <c r="W163" s="32"/>
      <c r="X163" s="53"/>
      <c r="Y163" s="21" t="str">
        <f>IFERROR(VLOOKUP(February[[#This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21" t="str">
        <f>IFERROR(VLOOKUP(February[[#This Row],[Drug Name4]],'Data Options'!$R$1:$S$100,2,FALSE), " ")</f>
        <v xml:space="preserve"> </v>
      </c>
      <c r="AI163" s="32"/>
      <c r="AJ163" s="32"/>
      <c r="AK163" s="53"/>
      <c r="AL163" s="21" t="str">
        <f>IFERROR(VLOOKUP(February[[#This Row],[Drug Name5]],'Data Options'!$R$1:$S$100,2,FALSE), " ")</f>
        <v xml:space="preserve"> </v>
      </c>
      <c r="AM163" s="32"/>
      <c r="AN163" s="32"/>
      <c r="AO163" s="53"/>
      <c r="AP163" s="21" t="str">
        <f>IFERROR(VLOOKUP(February[[#This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21" t="str">
        <f>IFERROR(VLOOKUP(February[[#This Row],[Drug Name7]],'Data Options'!$R$1:$S$100,2,FALSE), " ")</f>
        <v xml:space="preserve"> </v>
      </c>
      <c r="AZ163" s="32"/>
      <c r="BA163" s="32"/>
      <c r="BB163" s="53"/>
      <c r="BC163" s="21" t="str">
        <f>IFERROR(VLOOKUP(February[[#This Row],[Drug Name8]],'Data Options'!$R$1:$S$100,2,FALSE), " ")</f>
        <v xml:space="preserve"> </v>
      </c>
      <c r="BD163" s="32"/>
      <c r="BE163" s="32"/>
      <c r="BF163" s="53"/>
      <c r="BG163" s="21" t="str">
        <f>IFERROR(VLOOKUP(February[[#This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21" t="str">
        <f>IFERROR(VLOOKUP(February[[#This Row],[Drug Name]],'Data Options'!$R$1:$S$100,2,FALSE), " ")</f>
        <v xml:space="preserve"> </v>
      </c>
      <c r="R164" s="32"/>
      <c r="S164" s="32"/>
      <c r="T164" s="53"/>
      <c r="U164" s="21" t="str">
        <f>IFERROR(VLOOKUP(February[[#This Row],[Drug Name2]],'Data Options'!$R$1:$S$100,2,FALSE), " ")</f>
        <v xml:space="preserve"> </v>
      </c>
      <c r="V164" s="32"/>
      <c r="W164" s="32"/>
      <c r="X164" s="53"/>
      <c r="Y164" s="21" t="str">
        <f>IFERROR(VLOOKUP(February[[#This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21" t="str">
        <f>IFERROR(VLOOKUP(February[[#This Row],[Drug Name4]],'Data Options'!$R$1:$S$100,2,FALSE), " ")</f>
        <v xml:space="preserve"> </v>
      </c>
      <c r="AI164" s="32"/>
      <c r="AJ164" s="32"/>
      <c r="AK164" s="53"/>
      <c r="AL164" s="21" t="str">
        <f>IFERROR(VLOOKUP(February[[#This Row],[Drug Name5]],'Data Options'!$R$1:$S$100,2,FALSE), " ")</f>
        <v xml:space="preserve"> </v>
      </c>
      <c r="AM164" s="32"/>
      <c r="AN164" s="32"/>
      <c r="AO164" s="53"/>
      <c r="AP164" s="21" t="str">
        <f>IFERROR(VLOOKUP(February[[#This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21" t="str">
        <f>IFERROR(VLOOKUP(February[[#This Row],[Drug Name7]],'Data Options'!$R$1:$S$100,2,FALSE), " ")</f>
        <v xml:space="preserve"> </v>
      </c>
      <c r="AZ164" s="32"/>
      <c r="BA164" s="32"/>
      <c r="BB164" s="53"/>
      <c r="BC164" s="21" t="str">
        <f>IFERROR(VLOOKUP(February[[#This Row],[Drug Name8]],'Data Options'!$R$1:$S$100,2,FALSE), " ")</f>
        <v xml:space="preserve"> </v>
      </c>
      <c r="BD164" s="32"/>
      <c r="BE164" s="32"/>
      <c r="BF164" s="53"/>
      <c r="BG164" s="21" t="str">
        <f>IFERROR(VLOOKUP(February[[#This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21" t="str">
        <f>IFERROR(VLOOKUP(February[[#This Row],[Drug Name]],'Data Options'!$R$1:$S$100,2,FALSE), " ")</f>
        <v xml:space="preserve"> </v>
      </c>
      <c r="R165" s="32"/>
      <c r="S165" s="32"/>
      <c r="T165" s="53"/>
      <c r="U165" s="21" t="str">
        <f>IFERROR(VLOOKUP(February[[#This Row],[Drug Name2]],'Data Options'!$R$1:$S$100,2,FALSE), " ")</f>
        <v xml:space="preserve"> </v>
      </c>
      <c r="V165" s="32"/>
      <c r="W165" s="32"/>
      <c r="X165" s="53"/>
      <c r="Y165" s="21" t="str">
        <f>IFERROR(VLOOKUP(February[[#This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21" t="str">
        <f>IFERROR(VLOOKUP(February[[#This Row],[Drug Name4]],'Data Options'!$R$1:$S$100,2,FALSE), " ")</f>
        <v xml:space="preserve"> </v>
      </c>
      <c r="AI165" s="32"/>
      <c r="AJ165" s="32"/>
      <c r="AK165" s="53"/>
      <c r="AL165" s="21" t="str">
        <f>IFERROR(VLOOKUP(February[[#This Row],[Drug Name5]],'Data Options'!$R$1:$S$100,2,FALSE), " ")</f>
        <v xml:space="preserve"> </v>
      </c>
      <c r="AM165" s="32"/>
      <c r="AN165" s="32"/>
      <c r="AO165" s="53"/>
      <c r="AP165" s="21" t="str">
        <f>IFERROR(VLOOKUP(February[[#This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21" t="str">
        <f>IFERROR(VLOOKUP(February[[#This Row],[Drug Name7]],'Data Options'!$R$1:$S$100,2,FALSE), " ")</f>
        <v xml:space="preserve"> </v>
      </c>
      <c r="AZ165" s="32"/>
      <c r="BA165" s="32"/>
      <c r="BB165" s="53"/>
      <c r="BC165" s="21" t="str">
        <f>IFERROR(VLOOKUP(February[[#This Row],[Drug Name8]],'Data Options'!$R$1:$S$100,2,FALSE), " ")</f>
        <v xml:space="preserve"> </v>
      </c>
      <c r="BD165" s="32"/>
      <c r="BE165" s="32"/>
      <c r="BF165" s="53"/>
      <c r="BG165" s="21" t="str">
        <f>IFERROR(VLOOKUP(February[[#This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21" t="str">
        <f>IFERROR(VLOOKUP(February[[#This Row],[Drug Name]],'Data Options'!$R$1:$S$100,2,FALSE), " ")</f>
        <v xml:space="preserve"> </v>
      </c>
      <c r="R166" s="32"/>
      <c r="S166" s="32"/>
      <c r="T166" s="53"/>
      <c r="U166" s="21" t="str">
        <f>IFERROR(VLOOKUP(February[[#This Row],[Drug Name2]],'Data Options'!$R$1:$S$100,2,FALSE), " ")</f>
        <v xml:space="preserve"> </v>
      </c>
      <c r="V166" s="32"/>
      <c r="W166" s="32"/>
      <c r="X166" s="53"/>
      <c r="Y166" s="21" t="str">
        <f>IFERROR(VLOOKUP(February[[#This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21" t="str">
        <f>IFERROR(VLOOKUP(February[[#This Row],[Drug Name4]],'Data Options'!$R$1:$S$100,2,FALSE), " ")</f>
        <v xml:space="preserve"> </v>
      </c>
      <c r="AI166" s="32"/>
      <c r="AJ166" s="32"/>
      <c r="AK166" s="53"/>
      <c r="AL166" s="21" t="str">
        <f>IFERROR(VLOOKUP(February[[#This Row],[Drug Name5]],'Data Options'!$R$1:$S$100,2,FALSE), " ")</f>
        <v xml:space="preserve"> </v>
      </c>
      <c r="AM166" s="32"/>
      <c r="AN166" s="32"/>
      <c r="AO166" s="53"/>
      <c r="AP166" s="21" t="str">
        <f>IFERROR(VLOOKUP(February[[#This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21" t="str">
        <f>IFERROR(VLOOKUP(February[[#This Row],[Drug Name7]],'Data Options'!$R$1:$S$100,2,FALSE), " ")</f>
        <v xml:space="preserve"> </v>
      </c>
      <c r="AZ166" s="32"/>
      <c r="BA166" s="32"/>
      <c r="BB166" s="53"/>
      <c r="BC166" s="21" t="str">
        <f>IFERROR(VLOOKUP(February[[#This Row],[Drug Name8]],'Data Options'!$R$1:$S$100,2,FALSE), " ")</f>
        <v xml:space="preserve"> </v>
      </c>
      <c r="BD166" s="32"/>
      <c r="BE166" s="32"/>
      <c r="BF166" s="53"/>
      <c r="BG166" s="21" t="str">
        <f>IFERROR(VLOOKUP(February[[#This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21" t="str">
        <f>IFERROR(VLOOKUP(February[[#This Row],[Drug Name]],'Data Options'!$R$1:$S$100,2,FALSE), " ")</f>
        <v xml:space="preserve"> </v>
      </c>
      <c r="R167" s="32"/>
      <c r="S167" s="32"/>
      <c r="T167" s="53"/>
      <c r="U167" s="21" t="str">
        <f>IFERROR(VLOOKUP(February[[#This Row],[Drug Name2]],'Data Options'!$R$1:$S$100,2,FALSE), " ")</f>
        <v xml:space="preserve"> </v>
      </c>
      <c r="V167" s="32"/>
      <c r="W167" s="32"/>
      <c r="X167" s="53"/>
      <c r="Y167" s="21" t="str">
        <f>IFERROR(VLOOKUP(February[[#This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21" t="str">
        <f>IFERROR(VLOOKUP(February[[#This Row],[Drug Name4]],'Data Options'!$R$1:$S$100,2,FALSE), " ")</f>
        <v xml:space="preserve"> </v>
      </c>
      <c r="AI167" s="32"/>
      <c r="AJ167" s="32"/>
      <c r="AK167" s="53"/>
      <c r="AL167" s="21" t="str">
        <f>IFERROR(VLOOKUP(February[[#This Row],[Drug Name5]],'Data Options'!$R$1:$S$100,2,FALSE), " ")</f>
        <v xml:space="preserve"> </v>
      </c>
      <c r="AM167" s="32"/>
      <c r="AN167" s="32"/>
      <c r="AO167" s="53"/>
      <c r="AP167" s="21" t="str">
        <f>IFERROR(VLOOKUP(February[[#This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21" t="str">
        <f>IFERROR(VLOOKUP(February[[#This Row],[Drug Name7]],'Data Options'!$R$1:$S$100,2,FALSE), " ")</f>
        <v xml:space="preserve"> </v>
      </c>
      <c r="AZ167" s="32"/>
      <c r="BA167" s="32"/>
      <c r="BB167" s="53"/>
      <c r="BC167" s="21" t="str">
        <f>IFERROR(VLOOKUP(February[[#This Row],[Drug Name8]],'Data Options'!$R$1:$S$100,2,FALSE), " ")</f>
        <v xml:space="preserve"> </v>
      </c>
      <c r="BD167" s="32"/>
      <c r="BE167" s="32"/>
      <c r="BF167" s="53"/>
      <c r="BG167" s="21" t="str">
        <f>IFERROR(VLOOKUP(February[[#This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21" t="str">
        <f>IFERROR(VLOOKUP(February[[#This Row],[Drug Name]],'Data Options'!$R$1:$S$100,2,FALSE), " ")</f>
        <v xml:space="preserve"> </v>
      </c>
      <c r="R168" s="32"/>
      <c r="S168" s="32"/>
      <c r="T168" s="53"/>
      <c r="U168" s="21" t="str">
        <f>IFERROR(VLOOKUP(February[[#This Row],[Drug Name2]],'Data Options'!$R$1:$S$100,2,FALSE), " ")</f>
        <v xml:space="preserve"> </v>
      </c>
      <c r="V168" s="32"/>
      <c r="W168" s="32"/>
      <c r="X168" s="53"/>
      <c r="Y168" s="21" t="str">
        <f>IFERROR(VLOOKUP(February[[#This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21" t="str">
        <f>IFERROR(VLOOKUP(February[[#This Row],[Drug Name4]],'Data Options'!$R$1:$S$100,2,FALSE), " ")</f>
        <v xml:space="preserve"> </v>
      </c>
      <c r="AI168" s="32"/>
      <c r="AJ168" s="32"/>
      <c r="AK168" s="53"/>
      <c r="AL168" s="21" t="str">
        <f>IFERROR(VLOOKUP(February[[#This Row],[Drug Name5]],'Data Options'!$R$1:$S$100,2,FALSE), " ")</f>
        <v xml:space="preserve"> </v>
      </c>
      <c r="AM168" s="32"/>
      <c r="AN168" s="32"/>
      <c r="AO168" s="53"/>
      <c r="AP168" s="21" t="str">
        <f>IFERROR(VLOOKUP(February[[#This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21" t="str">
        <f>IFERROR(VLOOKUP(February[[#This Row],[Drug Name7]],'Data Options'!$R$1:$S$100,2,FALSE), " ")</f>
        <v xml:space="preserve"> </v>
      </c>
      <c r="AZ168" s="32"/>
      <c r="BA168" s="32"/>
      <c r="BB168" s="53"/>
      <c r="BC168" s="21" t="str">
        <f>IFERROR(VLOOKUP(February[[#This Row],[Drug Name8]],'Data Options'!$R$1:$S$100,2,FALSE), " ")</f>
        <v xml:space="preserve"> </v>
      </c>
      <c r="BD168" s="32"/>
      <c r="BE168" s="32"/>
      <c r="BF168" s="53"/>
      <c r="BG168" s="21" t="str">
        <f>IFERROR(VLOOKUP(February[[#This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21" t="str">
        <f>IFERROR(VLOOKUP(February[[#This Row],[Drug Name]],'Data Options'!$R$1:$S$100,2,FALSE), " ")</f>
        <v xml:space="preserve"> </v>
      </c>
      <c r="R169" s="32"/>
      <c r="S169" s="32"/>
      <c r="T169" s="53"/>
      <c r="U169" s="21" t="str">
        <f>IFERROR(VLOOKUP(February[[#This Row],[Drug Name2]],'Data Options'!$R$1:$S$100,2,FALSE), " ")</f>
        <v xml:space="preserve"> </v>
      </c>
      <c r="V169" s="32"/>
      <c r="W169" s="32"/>
      <c r="X169" s="53"/>
      <c r="Y169" s="21" t="str">
        <f>IFERROR(VLOOKUP(February[[#This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21" t="str">
        <f>IFERROR(VLOOKUP(February[[#This Row],[Drug Name4]],'Data Options'!$R$1:$S$100,2,FALSE), " ")</f>
        <v xml:space="preserve"> </v>
      </c>
      <c r="AI169" s="32"/>
      <c r="AJ169" s="32"/>
      <c r="AK169" s="53"/>
      <c r="AL169" s="21" t="str">
        <f>IFERROR(VLOOKUP(February[[#This Row],[Drug Name5]],'Data Options'!$R$1:$S$100,2,FALSE), " ")</f>
        <v xml:space="preserve"> </v>
      </c>
      <c r="AM169" s="32"/>
      <c r="AN169" s="32"/>
      <c r="AO169" s="53"/>
      <c r="AP169" s="21" t="str">
        <f>IFERROR(VLOOKUP(February[[#This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21" t="str">
        <f>IFERROR(VLOOKUP(February[[#This Row],[Drug Name7]],'Data Options'!$R$1:$S$100,2,FALSE), " ")</f>
        <v xml:space="preserve"> </v>
      </c>
      <c r="AZ169" s="32"/>
      <c r="BA169" s="32"/>
      <c r="BB169" s="53"/>
      <c r="BC169" s="21" t="str">
        <f>IFERROR(VLOOKUP(February[[#This Row],[Drug Name8]],'Data Options'!$R$1:$S$100,2,FALSE), " ")</f>
        <v xml:space="preserve"> </v>
      </c>
      <c r="BD169" s="32"/>
      <c r="BE169" s="32"/>
      <c r="BF169" s="53"/>
      <c r="BG169" s="21" t="str">
        <f>IFERROR(VLOOKUP(February[[#This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21" t="str">
        <f>IFERROR(VLOOKUP(February[[#This Row],[Drug Name]],'Data Options'!$R$1:$S$100,2,FALSE), " ")</f>
        <v xml:space="preserve"> </v>
      </c>
      <c r="R170" s="32"/>
      <c r="S170" s="32"/>
      <c r="T170" s="53"/>
      <c r="U170" s="21" t="str">
        <f>IFERROR(VLOOKUP(February[[#This Row],[Drug Name2]],'Data Options'!$R$1:$S$100,2,FALSE), " ")</f>
        <v xml:space="preserve"> </v>
      </c>
      <c r="V170" s="32"/>
      <c r="W170" s="32"/>
      <c r="X170" s="53"/>
      <c r="Y170" s="21" t="str">
        <f>IFERROR(VLOOKUP(February[[#This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21" t="str">
        <f>IFERROR(VLOOKUP(February[[#This Row],[Drug Name4]],'Data Options'!$R$1:$S$100,2,FALSE), " ")</f>
        <v xml:space="preserve"> </v>
      </c>
      <c r="AI170" s="32"/>
      <c r="AJ170" s="32"/>
      <c r="AK170" s="53"/>
      <c r="AL170" s="21" t="str">
        <f>IFERROR(VLOOKUP(February[[#This Row],[Drug Name5]],'Data Options'!$R$1:$S$100,2,FALSE), " ")</f>
        <v xml:space="preserve"> </v>
      </c>
      <c r="AM170" s="32"/>
      <c r="AN170" s="32"/>
      <c r="AO170" s="53"/>
      <c r="AP170" s="21" t="str">
        <f>IFERROR(VLOOKUP(February[[#This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21" t="str">
        <f>IFERROR(VLOOKUP(February[[#This Row],[Drug Name7]],'Data Options'!$R$1:$S$100,2,FALSE), " ")</f>
        <v xml:space="preserve"> </v>
      </c>
      <c r="AZ170" s="32"/>
      <c r="BA170" s="32"/>
      <c r="BB170" s="53"/>
      <c r="BC170" s="21" t="str">
        <f>IFERROR(VLOOKUP(February[[#This Row],[Drug Name8]],'Data Options'!$R$1:$S$100,2,FALSE), " ")</f>
        <v xml:space="preserve"> </v>
      </c>
      <c r="BD170" s="32"/>
      <c r="BE170" s="32"/>
      <c r="BF170" s="53"/>
      <c r="BG170" s="21" t="str">
        <f>IFERROR(VLOOKUP(February[[#This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21" t="str">
        <f>IFERROR(VLOOKUP(February[[#This Row],[Drug Name]],'Data Options'!$R$1:$S$100,2,FALSE), " ")</f>
        <v xml:space="preserve"> </v>
      </c>
      <c r="R171" s="32"/>
      <c r="S171" s="32"/>
      <c r="T171" s="53"/>
      <c r="U171" s="21" t="str">
        <f>IFERROR(VLOOKUP(February[[#This Row],[Drug Name2]],'Data Options'!$R$1:$S$100,2,FALSE), " ")</f>
        <v xml:space="preserve"> </v>
      </c>
      <c r="V171" s="32"/>
      <c r="W171" s="32"/>
      <c r="X171" s="53"/>
      <c r="Y171" s="21" t="str">
        <f>IFERROR(VLOOKUP(February[[#This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21" t="str">
        <f>IFERROR(VLOOKUP(February[[#This Row],[Drug Name4]],'Data Options'!$R$1:$S$100,2,FALSE), " ")</f>
        <v xml:space="preserve"> </v>
      </c>
      <c r="AI171" s="32"/>
      <c r="AJ171" s="32"/>
      <c r="AK171" s="53"/>
      <c r="AL171" s="21" t="str">
        <f>IFERROR(VLOOKUP(February[[#This Row],[Drug Name5]],'Data Options'!$R$1:$S$100,2,FALSE), " ")</f>
        <v xml:space="preserve"> </v>
      </c>
      <c r="AM171" s="32"/>
      <c r="AN171" s="32"/>
      <c r="AO171" s="53"/>
      <c r="AP171" s="21" t="str">
        <f>IFERROR(VLOOKUP(February[[#This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21" t="str">
        <f>IFERROR(VLOOKUP(February[[#This Row],[Drug Name7]],'Data Options'!$R$1:$S$100,2,FALSE), " ")</f>
        <v xml:space="preserve"> </v>
      </c>
      <c r="AZ171" s="32"/>
      <c r="BA171" s="32"/>
      <c r="BB171" s="53"/>
      <c r="BC171" s="21" t="str">
        <f>IFERROR(VLOOKUP(February[[#This Row],[Drug Name8]],'Data Options'!$R$1:$S$100,2,FALSE), " ")</f>
        <v xml:space="preserve"> </v>
      </c>
      <c r="BD171" s="32"/>
      <c r="BE171" s="32"/>
      <c r="BF171" s="53"/>
      <c r="BG171" s="21" t="str">
        <f>IFERROR(VLOOKUP(February[[#This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21" t="str">
        <f>IFERROR(VLOOKUP(February[[#This Row],[Drug Name]],'Data Options'!$R$1:$S$100,2,FALSE), " ")</f>
        <v xml:space="preserve"> </v>
      </c>
      <c r="R172" s="32"/>
      <c r="S172" s="32"/>
      <c r="T172" s="53"/>
      <c r="U172" s="21" t="str">
        <f>IFERROR(VLOOKUP(February[[#This Row],[Drug Name2]],'Data Options'!$R$1:$S$100,2,FALSE), " ")</f>
        <v xml:space="preserve"> </v>
      </c>
      <c r="V172" s="32"/>
      <c r="W172" s="32"/>
      <c r="X172" s="53"/>
      <c r="Y172" s="21" t="str">
        <f>IFERROR(VLOOKUP(February[[#This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21" t="str">
        <f>IFERROR(VLOOKUP(February[[#This Row],[Drug Name4]],'Data Options'!$R$1:$S$100,2,FALSE), " ")</f>
        <v xml:space="preserve"> </v>
      </c>
      <c r="AI172" s="32"/>
      <c r="AJ172" s="32"/>
      <c r="AK172" s="53"/>
      <c r="AL172" s="21" t="str">
        <f>IFERROR(VLOOKUP(February[[#This Row],[Drug Name5]],'Data Options'!$R$1:$S$100,2,FALSE), " ")</f>
        <v xml:space="preserve"> </v>
      </c>
      <c r="AM172" s="32"/>
      <c r="AN172" s="32"/>
      <c r="AO172" s="53"/>
      <c r="AP172" s="21" t="str">
        <f>IFERROR(VLOOKUP(February[[#This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21" t="str">
        <f>IFERROR(VLOOKUP(February[[#This Row],[Drug Name7]],'Data Options'!$R$1:$S$100,2,FALSE), " ")</f>
        <v xml:space="preserve"> </v>
      </c>
      <c r="AZ172" s="32"/>
      <c r="BA172" s="32"/>
      <c r="BB172" s="53"/>
      <c r="BC172" s="21" t="str">
        <f>IFERROR(VLOOKUP(February[[#This Row],[Drug Name8]],'Data Options'!$R$1:$S$100,2,FALSE), " ")</f>
        <v xml:space="preserve"> </v>
      </c>
      <c r="BD172" s="32"/>
      <c r="BE172" s="32"/>
      <c r="BF172" s="53"/>
      <c r="BG172" s="21" t="str">
        <f>IFERROR(VLOOKUP(February[[#This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21" t="str">
        <f>IFERROR(VLOOKUP(February[[#This Row],[Drug Name]],'Data Options'!$R$1:$S$100,2,FALSE), " ")</f>
        <v xml:space="preserve"> </v>
      </c>
      <c r="R173" s="32"/>
      <c r="S173" s="32"/>
      <c r="T173" s="53"/>
      <c r="U173" s="21" t="str">
        <f>IFERROR(VLOOKUP(February[[#This Row],[Drug Name2]],'Data Options'!$R$1:$S$100,2,FALSE), " ")</f>
        <v xml:space="preserve"> </v>
      </c>
      <c r="V173" s="32"/>
      <c r="W173" s="32"/>
      <c r="X173" s="53"/>
      <c r="Y173" s="21" t="str">
        <f>IFERROR(VLOOKUP(February[[#This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21" t="str">
        <f>IFERROR(VLOOKUP(February[[#This Row],[Drug Name4]],'Data Options'!$R$1:$S$100,2,FALSE), " ")</f>
        <v xml:space="preserve"> </v>
      </c>
      <c r="AI173" s="32"/>
      <c r="AJ173" s="32"/>
      <c r="AK173" s="53"/>
      <c r="AL173" s="21" t="str">
        <f>IFERROR(VLOOKUP(February[[#This Row],[Drug Name5]],'Data Options'!$R$1:$S$100,2,FALSE), " ")</f>
        <v xml:space="preserve"> </v>
      </c>
      <c r="AM173" s="32"/>
      <c r="AN173" s="32"/>
      <c r="AO173" s="53"/>
      <c r="AP173" s="21" t="str">
        <f>IFERROR(VLOOKUP(February[[#This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21" t="str">
        <f>IFERROR(VLOOKUP(February[[#This Row],[Drug Name7]],'Data Options'!$R$1:$S$100,2,FALSE), " ")</f>
        <v xml:space="preserve"> </v>
      </c>
      <c r="AZ173" s="32"/>
      <c r="BA173" s="32"/>
      <c r="BB173" s="53"/>
      <c r="BC173" s="21" t="str">
        <f>IFERROR(VLOOKUP(February[[#This Row],[Drug Name8]],'Data Options'!$R$1:$S$100,2,FALSE), " ")</f>
        <v xml:space="preserve"> </v>
      </c>
      <c r="BD173" s="32"/>
      <c r="BE173" s="32"/>
      <c r="BF173" s="53"/>
      <c r="BG173" s="21" t="str">
        <f>IFERROR(VLOOKUP(February[[#This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21" t="str">
        <f>IFERROR(VLOOKUP(February[[#This Row],[Drug Name]],'Data Options'!$R$1:$S$100,2,FALSE), " ")</f>
        <v xml:space="preserve"> </v>
      </c>
      <c r="R174" s="32"/>
      <c r="S174" s="32"/>
      <c r="T174" s="53"/>
      <c r="U174" s="21" t="str">
        <f>IFERROR(VLOOKUP(February[[#This Row],[Drug Name2]],'Data Options'!$R$1:$S$100,2,FALSE), " ")</f>
        <v xml:space="preserve"> </v>
      </c>
      <c r="V174" s="32"/>
      <c r="W174" s="32"/>
      <c r="X174" s="53"/>
      <c r="Y174" s="21" t="str">
        <f>IFERROR(VLOOKUP(February[[#This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21" t="str">
        <f>IFERROR(VLOOKUP(February[[#This Row],[Drug Name4]],'Data Options'!$R$1:$S$100,2,FALSE), " ")</f>
        <v xml:space="preserve"> </v>
      </c>
      <c r="AI174" s="32"/>
      <c r="AJ174" s="32"/>
      <c r="AK174" s="53"/>
      <c r="AL174" s="21" t="str">
        <f>IFERROR(VLOOKUP(February[[#This Row],[Drug Name5]],'Data Options'!$R$1:$S$100,2,FALSE), " ")</f>
        <v xml:space="preserve"> </v>
      </c>
      <c r="AM174" s="32"/>
      <c r="AN174" s="32"/>
      <c r="AO174" s="53"/>
      <c r="AP174" s="21" t="str">
        <f>IFERROR(VLOOKUP(February[[#This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21" t="str">
        <f>IFERROR(VLOOKUP(February[[#This Row],[Drug Name7]],'Data Options'!$R$1:$S$100,2,FALSE), " ")</f>
        <v xml:space="preserve"> </v>
      </c>
      <c r="AZ174" s="32"/>
      <c r="BA174" s="32"/>
      <c r="BB174" s="53"/>
      <c r="BC174" s="21" t="str">
        <f>IFERROR(VLOOKUP(February[[#This Row],[Drug Name8]],'Data Options'!$R$1:$S$100,2,FALSE), " ")</f>
        <v xml:space="preserve"> </v>
      </c>
      <c r="BD174" s="32"/>
      <c r="BE174" s="32"/>
      <c r="BF174" s="53"/>
      <c r="BG174" s="21" t="str">
        <f>IFERROR(VLOOKUP(February[[#This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21" t="str">
        <f>IFERROR(VLOOKUP(February[[#This Row],[Drug Name]],'Data Options'!$R$1:$S$100,2,FALSE), " ")</f>
        <v xml:space="preserve"> </v>
      </c>
      <c r="R175" s="32"/>
      <c r="S175" s="32"/>
      <c r="T175" s="53"/>
      <c r="U175" s="21" t="str">
        <f>IFERROR(VLOOKUP(February[[#This Row],[Drug Name2]],'Data Options'!$R$1:$S$100,2,FALSE), " ")</f>
        <v xml:space="preserve"> </v>
      </c>
      <c r="V175" s="32"/>
      <c r="W175" s="32"/>
      <c r="X175" s="53"/>
      <c r="Y175" s="21" t="str">
        <f>IFERROR(VLOOKUP(February[[#This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21" t="str">
        <f>IFERROR(VLOOKUP(February[[#This Row],[Drug Name4]],'Data Options'!$R$1:$S$100,2,FALSE), " ")</f>
        <v xml:space="preserve"> </v>
      </c>
      <c r="AI175" s="32"/>
      <c r="AJ175" s="32"/>
      <c r="AK175" s="53"/>
      <c r="AL175" s="21" t="str">
        <f>IFERROR(VLOOKUP(February[[#This Row],[Drug Name5]],'Data Options'!$R$1:$S$100,2,FALSE), " ")</f>
        <v xml:space="preserve"> </v>
      </c>
      <c r="AM175" s="32"/>
      <c r="AN175" s="32"/>
      <c r="AO175" s="53"/>
      <c r="AP175" s="21" t="str">
        <f>IFERROR(VLOOKUP(February[[#This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21" t="str">
        <f>IFERROR(VLOOKUP(February[[#This Row],[Drug Name7]],'Data Options'!$R$1:$S$100,2,FALSE), " ")</f>
        <v xml:space="preserve"> </v>
      </c>
      <c r="AZ175" s="32"/>
      <c r="BA175" s="32"/>
      <c r="BB175" s="53"/>
      <c r="BC175" s="21" t="str">
        <f>IFERROR(VLOOKUP(February[[#This Row],[Drug Name8]],'Data Options'!$R$1:$S$100,2,FALSE), " ")</f>
        <v xml:space="preserve"> </v>
      </c>
      <c r="BD175" s="32"/>
      <c r="BE175" s="32"/>
      <c r="BF175" s="53"/>
      <c r="BG175" s="21" t="str">
        <f>IFERROR(VLOOKUP(February[[#This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21" t="str">
        <f>IFERROR(VLOOKUP(February[[#This Row],[Drug Name]],'Data Options'!$R$1:$S$100,2,FALSE), " ")</f>
        <v xml:space="preserve"> </v>
      </c>
      <c r="R176" s="32"/>
      <c r="S176" s="32"/>
      <c r="T176" s="53"/>
      <c r="U176" s="21" t="str">
        <f>IFERROR(VLOOKUP(February[[#This Row],[Drug Name2]],'Data Options'!$R$1:$S$100,2,FALSE), " ")</f>
        <v xml:space="preserve"> </v>
      </c>
      <c r="V176" s="32"/>
      <c r="W176" s="32"/>
      <c r="X176" s="53"/>
      <c r="Y176" s="21" t="str">
        <f>IFERROR(VLOOKUP(February[[#This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21" t="str">
        <f>IFERROR(VLOOKUP(February[[#This Row],[Drug Name4]],'Data Options'!$R$1:$S$100,2,FALSE), " ")</f>
        <v xml:space="preserve"> </v>
      </c>
      <c r="AI176" s="32"/>
      <c r="AJ176" s="32"/>
      <c r="AK176" s="53"/>
      <c r="AL176" s="21" t="str">
        <f>IFERROR(VLOOKUP(February[[#This Row],[Drug Name5]],'Data Options'!$R$1:$S$100,2,FALSE), " ")</f>
        <v xml:space="preserve"> </v>
      </c>
      <c r="AM176" s="32"/>
      <c r="AN176" s="32"/>
      <c r="AO176" s="53"/>
      <c r="AP176" s="21" t="str">
        <f>IFERROR(VLOOKUP(February[[#This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21" t="str">
        <f>IFERROR(VLOOKUP(February[[#This Row],[Drug Name7]],'Data Options'!$R$1:$S$100,2,FALSE), " ")</f>
        <v xml:space="preserve"> </v>
      </c>
      <c r="AZ176" s="32"/>
      <c r="BA176" s="32"/>
      <c r="BB176" s="53"/>
      <c r="BC176" s="21" t="str">
        <f>IFERROR(VLOOKUP(February[[#This Row],[Drug Name8]],'Data Options'!$R$1:$S$100,2,FALSE), " ")</f>
        <v xml:space="preserve"> </v>
      </c>
      <c r="BD176" s="32"/>
      <c r="BE176" s="32"/>
      <c r="BF176" s="53"/>
      <c r="BG176" s="21" t="str">
        <f>IFERROR(VLOOKUP(February[[#This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21" t="str">
        <f>IFERROR(VLOOKUP(February[[#This Row],[Drug Name]],'Data Options'!$R$1:$S$100,2,FALSE), " ")</f>
        <v xml:space="preserve"> </v>
      </c>
      <c r="R177" s="32"/>
      <c r="S177" s="32"/>
      <c r="T177" s="53"/>
      <c r="U177" s="21" t="str">
        <f>IFERROR(VLOOKUP(February[[#This Row],[Drug Name2]],'Data Options'!$R$1:$S$100,2,FALSE), " ")</f>
        <v xml:space="preserve"> </v>
      </c>
      <c r="V177" s="32"/>
      <c r="W177" s="32"/>
      <c r="X177" s="53"/>
      <c r="Y177" s="21" t="str">
        <f>IFERROR(VLOOKUP(February[[#This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21" t="str">
        <f>IFERROR(VLOOKUP(February[[#This Row],[Drug Name4]],'Data Options'!$R$1:$S$100,2,FALSE), " ")</f>
        <v xml:space="preserve"> </v>
      </c>
      <c r="AI177" s="32"/>
      <c r="AJ177" s="32"/>
      <c r="AK177" s="53"/>
      <c r="AL177" s="21" t="str">
        <f>IFERROR(VLOOKUP(February[[#This Row],[Drug Name5]],'Data Options'!$R$1:$S$100,2,FALSE), " ")</f>
        <v xml:space="preserve"> </v>
      </c>
      <c r="AM177" s="32"/>
      <c r="AN177" s="32"/>
      <c r="AO177" s="53"/>
      <c r="AP177" s="21" t="str">
        <f>IFERROR(VLOOKUP(February[[#This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21" t="str">
        <f>IFERROR(VLOOKUP(February[[#This Row],[Drug Name7]],'Data Options'!$R$1:$S$100,2,FALSE), " ")</f>
        <v xml:space="preserve"> </v>
      </c>
      <c r="AZ177" s="32"/>
      <c r="BA177" s="32"/>
      <c r="BB177" s="53"/>
      <c r="BC177" s="21" t="str">
        <f>IFERROR(VLOOKUP(February[[#This Row],[Drug Name8]],'Data Options'!$R$1:$S$100,2,FALSE), " ")</f>
        <v xml:space="preserve"> </v>
      </c>
      <c r="BD177" s="32"/>
      <c r="BE177" s="32"/>
      <c r="BF177" s="53"/>
      <c r="BG177" s="21" t="str">
        <f>IFERROR(VLOOKUP(February[[#This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21" t="str">
        <f>IFERROR(VLOOKUP(February[[#This Row],[Drug Name]],'Data Options'!$R$1:$S$100,2,FALSE), " ")</f>
        <v xml:space="preserve"> </v>
      </c>
      <c r="R178" s="32"/>
      <c r="S178" s="32"/>
      <c r="T178" s="53"/>
      <c r="U178" s="21" t="str">
        <f>IFERROR(VLOOKUP(February[[#This Row],[Drug Name2]],'Data Options'!$R$1:$S$100,2,FALSE), " ")</f>
        <v xml:space="preserve"> </v>
      </c>
      <c r="V178" s="32"/>
      <c r="W178" s="32"/>
      <c r="X178" s="53"/>
      <c r="Y178" s="21" t="str">
        <f>IFERROR(VLOOKUP(February[[#This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21" t="str">
        <f>IFERROR(VLOOKUP(February[[#This Row],[Drug Name4]],'Data Options'!$R$1:$S$100,2,FALSE), " ")</f>
        <v xml:space="preserve"> </v>
      </c>
      <c r="AI178" s="32"/>
      <c r="AJ178" s="32"/>
      <c r="AK178" s="53"/>
      <c r="AL178" s="21" t="str">
        <f>IFERROR(VLOOKUP(February[[#This Row],[Drug Name5]],'Data Options'!$R$1:$S$100,2,FALSE), " ")</f>
        <v xml:space="preserve"> </v>
      </c>
      <c r="AM178" s="32"/>
      <c r="AN178" s="32"/>
      <c r="AO178" s="53"/>
      <c r="AP178" s="21" t="str">
        <f>IFERROR(VLOOKUP(February[[#This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21" t="str">
        <f>IFERROR(VLOOKUP(February[[#This Row],[Drug Name7]],'Data Options'!$R$1:$S$100,2,FALSE), " ")</f>
        <v xml:space="preserve"> </v>
      </c>
      <c r="AZ178" s="32"/>
      <c r="BA178" s="32"/>
      <c r="BB178" s="53"/>
      <c r="BC178" s="21" t="str">
        <f>IFERROR(VLOOKUP(February[[#This Row],[Drug Name8]],'Data Options'!$R$1:$S$100,2,FALSE), " ")</f>
        <v xml:space="preserve"> </v>
      </c>
      <c r="BD178" s="32"/>
      <c r="BE178" s="32"/>
      <c r="BF178" s="53"/>
      <c r="BG178" s="21" t="str">
        <f>IFERROR(VLOOKUP(February[[#This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21" t="str">
        <f>IFERROR(VLOOKUP(February[[#This Row],[Drug Name]],'Data Options'!$R$1:$S$100,2,FALSE), " ")</f>
        <v xml:space="preserve"> </v>
      </c>
      <c r="R179" s="32"/>
      <c r="S179" s="32"/>
      <c r="T179" s="53"/>
      <c r="U179" s="21" t="str">
        <f>IFERROR(VLOOKUP(February[[#This Row],[Drug Name2]],'Data Options'!$R$1:$S$100,2,FALSE), " ")</f>
        <v xml:space="preserve"> </v>
      </c>
      <c r="V179" s="32"/>
      <c r="W179" s="32"/>
      <c r="X179" s="53"/>
      <c r="Y179" s="21" t="str">
        <f>IFERROR(VLOOKUP(February[[#This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21" t="str">
        <f>IFERROR(VLOOKUP(February[[#This Row],[Drug Name4]],'Data Options'!$R$1:$S$100,2,FALSE), " ")</f>
        <v xml:space="preserve"> </v>
      </c>
      <c r="AI179" s="32"/>
      <c r="AJ179" s="32"/>
      <c r="AK179" s="53"/>
      <c r="AL179" s="21" t="str">
        <f>IFERROR(VLOOKUP(February[[#This Row],[Drug Name5]],'Data Options'!$R$1:$S$100,2,FALSE), " ")</f>
        <v xml:space="preserve"> </v>
      </c>
      <c r="AM179" s="32"/>
      <c r="AN179" s="32"/>
      <c r="AO179" s="53"/>
      <c r="AP179" s="21" t="str">
        <f>IFERROR(VLOOKUP(February[[#This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21" t="str">
        <f>IFERROR(VLOOKUP(February[[#This Row],[Drug Name7]],'Data Options'!$R$1:$S$100,2,FALSE), " ")</f>
        <v xml:space="preserve"> </v>
      </c>
      <c r="AZ179" s="32"/>
      <c r="BA179" s="32"/>
      <c r="BB179" s="53"/>
      <c r="BC179" s="21" t="str">
        <f>IFERROR(VLOOKUP(February[[#This Row],[Drug Name8]],'Data Options'!$R$1:$S$100,2,FALSE), " ")</f>
        <v xml:space="preserve"> </v>
      </c>
      <c r="BD179" s="32"/>
      <c r="BE179" s="32"/>
      <c r="BF179" s="53"/>
      <c r="BG179" s="21" t="str">
        <f>IFERROR(VLOOKUP(February[[#This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21" t="str">
        <f>IFERROR(VLOOKUP(February[[#This Row],[Drug Name]],'Data Options'!$R$1:$S$100,2,FALSE), " ")</f>
        <v xml:space="preserve"> </v>
      </c>
      <c r="R180" s="32"/>
      <c r="S180" s="32"/>
      <c r="T180" s="53"/>
      <c r="U180" s="21" t="str">
        <f>IFERROR(VLOOKUP(February[[#This Row],[Drug Name2]],'Data Options'!$R$1:$S$100,2,FALSE), " ")</f>
        <v xml:space="preserve"> </v>
      </c>
      <c r="V180" s="32"/>
      <c r="W180" s="32"/>
      <c r="X180" s="53"/>
      <c r="Y180" s="21" t="str">
        <f>IFERROR(VLOOKUP(February[[#This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21" t="str">
        <f>IFERROR(VLOOKUP(February[[#This Row],[Drug Name4]],'Data Options'!$R$1:$S$100,2,FALSE), " ")</f>
        <v xml:space="preserve"> </v>
      </c>
      <c r="AI180" s="32"/>
      <c r="AJ180" s="32"/>
      <c r="AK180" s="53"/>
      <c r="AL180" s="21" t="str">
        <f>IFERROR(VLOOKUP(February[[#This Row],[Drug Name5]],'Data Options'!$R$1:$S$100,2,FALSE), " ")</f>
        <v xml:space="preserve"> </v>
      </c>
      <c r="AM180" s="32"/>
      <c r="AN180" s="32"/>
      <c r="AO180" s="53"/>
      <c r="AP180" s="21" t="str">
        <f>IFERROR(VLOOKUP(February[[#This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21" t="str">
        <f>IFERROR(VLOOKUP(February[[#This Row],[Drug Name7]],'Data Options'!$R$1:$S$100,2,FALSE), " ")</f>
        <v xml:space="preserve"> </v>
      </c>
      <c r="AZ180" s="32"/>
      <c r="BA180" s="32"/>
      <c r="BB180" s="53"/>
      <c r="BC180" s="21" t="str">
        <f>IFERROR(VLOOKUP(February[[#This Row],[Drug Name8]],'Data Options'!$R$1:$S$100,2,FALSE), " ")</f>
        <v xml:space="preserve"> </v>
      </c>
      <c r="BD180" s="32"/>
      <c r="BE180" s="32"/>
      <c r="BF180" s="53"/>
      <c r="BG180" s="21" t="str">
        <f>IFERROR(VLOOKUP(February[[#This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21" t="str">
        <f>IFERROR(VLOOKUP(February[[#This Row],[Drug Name]],'Data Options'!$R$1:$S$100,2,FALSE), " ")</f>
        <v xml:space="preserve"> </v>
      </c>
      <c r="R181" s="32"/>
      <c r="S181" s="32"/>
      <c r="T181" s="53"/>
      <c r="U181" s="21" t="str">
        <f>IFERROR(VLOOKUP(February[[#This Row],[Drug Name2]],'Data Options'!$R$1:$S$100,2,FALSE), " ")</f>
        <v xml:space="preserve"> </v>
      </c>
      <c r="V181" s="32"/>
      <c r="W181" s="32"/>
      <c r="X181" s="53"/>
      <c r="Y181" s="21" t="str">
        <f>IFERROR(VLOOKUP(February[[#This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21" t="str">
        <f>IFERROR(VLOOKUP(February[[#This Row],[Drug Name4]],'Data Options'!$R$1:$S$100,2,FALSE), " ")</f>
        <v xml:space="preserve"> </v>
      </c>
      <c r="AI181" s="32"/>
      <c r="AJ181" s="32"/>
      <c r="AK181" s="53"/>
      <c r="AL181" s="21" t="str">
        <f>IFERROR(VLOOKUP(February[[#This Row],[Drug Name5]],'Data Options'!$R$1:$S$100,2,FALSE), " ")</f>
        <v xml:space="preserve"> </v>
      </c>
      <c r="AM181" s="32"/>
      <c r="AN181" s="32"/>
      <c r="AO181" s="53"/>
      <c r="AP181" s="21" t="str">
        <f>IFERROR(VLOOKUP(February[[#This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21" t="str">
        <f>IFERROR(VLOOKUP(February[[#This Row],[Drug Name7]],'Data Options'!$R$1:$S$100,2,FALSE), " ")</f>
        <v xml:space="preserve"> </v>
      </c>
      <c r="AZ181" s="32"/>
      <c r="BA181" s="32"/>
      <c r="BB181" s="53"/>
      <c r="BC181" s="21" t="str">
        <f>IFERROR(VLOOKUP(February[[#This Row],[Drug Name8]],'Data Options'!$R$1:$S$100,2,FALSE), " ")</f>
        <v xml:space="preserve"> </v>
      </c>
      <c r="BD181" s="32"/>
      <c r="BE181" s="32"/>
      <c r="BF181" s="53"/>
      <c r="BG181" s="21" t="str">
        <f>IFERROR(VLOOKUP(February[[#This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21" t="str">
        <f>IFERROR(VLOOKUP(February[[#This Row],[Drug Name]],'Data Options'!$R$1:$S$100,2,FALSE), " ")</f>
        <v xml:space="preserve"> </v>
      </c>
      <c r="R182" s="32"/>
      <c r="S182" s="32"/>
      <c r="T182" s="53"/>
      <c r="U182" s="21" t="str">
        <f>IFERROR(VLOOKUP(February[[#This Row],[Drug Name2]],'Data Options'!$R$1:$S$100,2,FALSE), " ")</f>
        <v xml:space="preserve"> </v>
      </c>
      <c r="V182" s="32"/>
      <c r="W182" s="32"/>
      <c r="X182" s="53"/>
      <c r="Y182" s="21" t="str">
        <f>IFERROR(VLOOKUP(February[[#This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21" t="str">
        <f>IFERROR(VLOOKUP(February[[#This Row],[Drug Name4]],'Data Options'!$R$1:$S$100,2,FALSE), " ")</f>
        <v xml:space="preserve"> </v>
      </c>
      <c r="AI182" s="32"/>
      <c r="AJ182" s="32"/>
      <c r="AK182" s="53"/>
      <c r="AL182" s="21" t="str">
        <f>IFERROR(VLOOKUP(February[[#This Row],[Drug Name5]],'Data Options'!$R$1:$S$100,2,FALSE), " ")</f>
        <v xml:space="preserve"> </v>
      </c>
      <c r="AM182" s="32"/>
      <c r="AN182" s="32"/>
      <c r="AO182" s="53"/>
      <c r="AP182" s="21" t="str">
        <f>IFERROR(VLOOKUP(February[[#This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21" t="str">
        <f>IFERROR(VLOOKUP(February[[#This Row],[Drug Name7]],'Data Options'!$R$1:$S$100,2,FALSE), " ")</f>
        <v xml:space="preserve"> </v>
      </c>
      <c r="AZ182" s="32"/>
      <c r="BA182" s="32"/>
      <c r="BB182" s="53"/>
      <c r="BC182" s="21" t="str">
        <f>IFERROR(VLOOKUP(February[[#This Row],[Drug Name8]],'Data Options'!$R$1:$S$100,2,FALSE), " ")</f>
        <v xml:space="preserve"> </v>
      </c>
      <c r="BD182" s="32"/>
      <c r="BE182" s="32"/>
      <c r="BF182" s="53"/>
      <c r="BG182" s="21" t="str">
        <f>IFERROR(VLOOKUP(February[[#This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21" t="str">
        <f>IFERROR(VLOOKUP(February[[#This Row],[Drug Name]],'Data Options'!$R$1:$S$100,2,FALSE), " ")</f>
        <v xml:space="preserve"> </v>
      </c>
      <c r="R183" s="32"/>
      <c r="S183" s="32"/>
      <c r="T183" s="53"/>
      <c r="U183" s="21" t="str">
        <f>IFERROR(VLOOKUP(February[[#This Row],[Drug Name2]],'Data Options'!$R$1:$S$100,2,FALSE), " ")</f>
        <v xml:space="preserve"> </v>
      </c>
      <c r="V183" s="32"/>
      <c r="W183" s="32"/>
      <c r="X183" s="53"/>
      <c r="Y183" s="21" t="str">
        <f>IFERROR(VLOOKUP(February[[#This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21" t="str">
        <f>IFERROR(VLOOKUP(February[[#This Row],[Drug Name4]],'Data Options'!$R$1:$S$100,2,FALSE), " ")</f>
        <v xml:space="preserve"> </v>
      </c>
      <c r="AI183" s="32"/>
      <c r="AJ183" s="32"/>
      <c r="AK183" s="53"/>
      <c r="AL183" s="21" t="str">
        <f>IFERROR(VLOOKUP(February[[#This Row],[Drug Name5]],'Data Options'!$R$1:$S$100,2,FALSE), " ")</f>
        <v xml:space="preserve"> </v>
      </c>
      <c r="AM183" s="32"/>
      <c r="AN183" s="32"/>
      <c r="AO183" s="53"/>
      <c r="AP183" s="21" t="str">
        <f>IFERROR(VLOOKUP(February[[#This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21" t="str">
        <f>IFERROR(VLOOKUP(February[[#This Row],[Drug Name7]],'Data Options'!$R$1:$S$100,2,FALSE), " ")</f>
        <v xml:space="preserve"> </v>
      </c>
      <c r="AZ183" s="32"/>
      <c r="BA183" s="32"/>
      <c r="BB183" s="53"/>
      <c r="BC183" s="21" t="str">
        <f>IFERROR(VLOOKUP(February[[#This Row],[Drug Name8]],'Data Options'!$R$1:$S$100,2,FALSE), " ")</f>
        <v xml:space="preserve"> </v>
      </c>
      <c r="BD183" s="32"/>
      <c r="BE183" s="32"/>
      <c r="BF183" s="53"/>
      <c r="BG183" s="21" t="str">
        <f>IFERROR(VLOOKUP(February[[#This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21" t="str">
        <f>IFERROR(VLOOKUP(February[[#This Row],[Drug Name]],'Data Options'!$R$1:$S$100,2,FALSE), " ")</f>
        <v xml:space="preserve"> </v>
      </c>
      <c r="R184" s="32"/>
      <c r="S184" s="32"/>
      <c r="T184" s="53"/>
      <c r="U184" s="21" t="str">
        <f>IFERROR(VLOOKUP(February[[#This Row],[Drug Name2]],'Data Options'!$R$1:$S$100,2,FALSE), " ")</f>
        <v xml:space="preserve"> </v>
      </c>
      <c r="V184" s="32"/>
      <c r="W184" s="32"/>
      <c r="X184" s="53"/>
      <c r="Y184" s="21" t="str">
        <f>IFERROR(VLOOKUP(February[[#This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21" t="str">
        <f>IFERROR(VLOOKUP(February[[#This Row],[Drug Name4]],'Data Options'!$R$1:$S$100,2,FALSE), " ")</f>
        <v xml:space="preserve"> </v>
      </c>
      <c r="AI184" s="32"/>
      <c r="AJ184" s="32"/>
      <c r="AK184" s="53"/>
      <c r="AL184" s="21" t="str">
        <f>IFERROR(VLOOKUP(February[[#This Row],[Drug Name5]],'Data Options'!$R$1:$S$100,2,FALSE), " ")</f>
        <v xml:space="preserve"> </v>
      </c>
      <c r="AM184" s="32"/>
      <c r="AN184" s="32"/>
      <c r="AO184" s="53"/>
      <c r="AP184" s="21" t="str">
        <f>IFERROR(VLOOKUP(February[[#This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21" t="str">
        <f>IFERROR(VLOOKUP(February[[#This Row],[Drug Name7]],'Data Options'!$R$1:$S$100,2,FALSE), " ")</f>
        <v xml:space="preserve"> </v>
      </c>
      <c r="AZ184" s="32"/>
      <c r="BA184" s="32"/>
      <c r="BB184" s="53"/>
      <c r="BC184" s="21" t="str">
        <f>IFERROR(VLOOKUP(February[[#This Row],[Drug Name8]],'Data Options'!$R$1:$S$100,2,FALSE), " ")</f>
        <v xml:space="preserve"> </v>
      </c>
      <c r="BD184" s="32"/>
      <c r="BE184" s="32"/>
      <c r="BF184" s="53"/>
      <c r="BG184" s="21" t="str">
        <f>IFERROR(VLOOKUP(February[[#This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21" t="str">
        <f>IFERROR(VLOOKUP(February[[#This Row],[Drug Name]],'Data Options'!$R$1:$S$100,2,FALSE), " ")</f>
        <v xml:space="preserve"> </v>
      </c>
      <c r="R185" s="32"/>
      <c r="S185" s="32"/>
      <c r="T185" s="53"/>
      <c r="U185" s="21" t="str">
        <f>IFERROR(VLOOKUP(February[[#This Row],[Drug Name2]],'Data Options'!$R$1:$S$100,2,FALSE), " ")</f>
        <v xml:space="preserve"> </v>
      </c>
      <c r="V185" s="32"/>
      <c r="W185" s="32"/>
      <c r="X185" s="53"/>
      <c r="Y185" s="21" t="str">
        <f>IFERROR(VLOOKUP(February[[#This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21" t="str">
        <f>IFERROR(VLOOKUP(February[[#This Row],[Drug Name4]],'Data Options'!$R$1:$S$100,2,FALSE), " ")</f>
        <v xml:space="preserve"> </v>
      </c>
      <c r="AI185" s="32"/>
      <c r="AJ185" s="32"/>
      <c r="AK185" s="53"/>
      <c r="AL185" s="21" t="str">
        <f>IFERROR(VLOOKUP(February[[#This Row],[Drug Name5]],'Data Options'!$R$1:$S$100,2,FALSE), " ")</f>
        <v xml:space="preserve"> </v>
      </c>
      <c r="AM185" s="32"/>
      <c r="AN185" s="32"/>
      <c r="AO185" s="53"/>
      <c r="AP185" s="21" t="str">
        <f>IFERROR(VLOOKUP(February[[#This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21" t="str">
        <f>IFERROR(VLOOKUP(February[[#This Row],[Drug Name7]],'Data Options'!$R$1:$S$100,2,FALSE), " ")</f>
        <v xml:space="preserve"> </v>
      </c>
      <c r="AZ185" s="32"/>
      <c r="BA185" s="32"/>
      <c r="BB185" s="53"/>
      <c r="BC185" s="21" t="str">
        <f>IFERROR(VLOOKUP(February[[#This Row],[Drug Name8]],'Data Options'!$R$1:$S$100,2,FALSE), " ")</f>
        <v xml:space="preserve"> </v>
      </c>
      <c r="BD185" s="32"/>
      <c r="BE185" s="32"/>
      <c r="BF185" s="53"/>
      <c r="BG185" s="21" t="str">
        <f>IFERROR(VLOOKUP(February[[#This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21" t="str">
        <f>IFERROR(VLOOKUP(February[[#This Row],[Drug Name]],'Data Options'!$R$1:$S$100,2,FALSE), " ")</f>
        <v xml:space="preserve"> </v>
      </c>
      <c r="R186" s="32"/>
      <c r="S186" s="32"/>
      <c r="T186" s="53"/>
      <c r="U186" s="21" t="str">
        <f>IFERROR(VLOOKUP(February[[#This Row],[Drug Name2]],'Data Options'!$R$1:$S$100,2,FALSE), " ")</f>
        <v xml:space="preserve"> </v>
      </c>
      <c r="V186" s="32"/>
      <c r="W186" s="32"/>
      <c r="X186" s="53"/>
      <c r="Y186" s="21" t="str">
        <f>IFERROR(VLOOKUP(February[[#This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21" t="str">
        <f>IFERROR(VLOOKUP(February[[#This Row],[Drug Name4]],'Data Options'!$R$1:$S$100,2,FALSE), " ")</f>
        <v xml:space="preserve"> </v>
      </c>
      <c r="AI186" s="32"/>
      <c r="AJ186" s="32"/>
      <c r="AK186" s="53"/>
      <c r="AL186" s="21" t="str">
        <f>IFERROR(VLOOKUP(February[[#This Row],[Drug Name5]],'Data Options'!$R$1:$S$100,2,FALSE), " ")</f>
        <v xml:space="preserve"> </v>
      </c>
      <c r="AM186" s="32"/>
      <c r="AN186" s="32"/>
      <c r="AO186" s="53"/>
      <c r="AP186" s="21" t="str">
        <f>IFERROR(VLOOKUP(February[[#This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21" t="str">
        <f>IFERROR(VLOOKUP(February[[#This Row],[Drug Name7]],'Data Options'!$R$1:$S$100,2,FALSE), " ")</f>
        <v xml:space="preserve"> </v>
      </c>
      <c r="AZ186" s="32"/>
      <c r="BA186" s="32"/>
      <c r="BB186" s="53"/>
      <c r="BC186" s="21" t="str">
        <f>IFERROR(VLOOKUP(February[[#This Row],[Drug Name8]],'Data Options'!$R$1:$S$100,2,FALSE), " ")</f>
        <v xml:space="preserve"> </v>
      </c>
      <c r="BD186" s="32"/>
      <c r="BE186" s="32"/>
      <c r="BF186" s="53"/>
      <c r="BG186" s="21" t="str">
        <f>IFERROR(VLOOKUP(February[[#This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21" t="str">
        <f>IFERROR(VLOOKUP(February[[#This Row],[Drug Name]],'Data Options'!$R$1:$S$100,2,FALSE), " ")</f>
        <v xml:space="preserve"> </v>
      </c>
      <c r="R187" s="32"/>
      <c r="S187" s="32"/>
      <c r="T187" s="53"/>
      <c r="U187" s="21" t="str">
        <f>IFERROR(VLOOKUP(February[[#This Row],[Drug Name2]],'Data Options'!$R$1:$S$100,2,FALSE), " ")</f>
        <v xml:space="preserve"> </v>
      </c>
      <c r="V187" s="32"/>
      <c r="W187" s="32"/>
      <c r="X187" s="53"/>
      <c r="Y187" s="21" t="str">
        <f>IFERROR(VLOOKUP(February[[#This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21" t="str">
        <f>IFERROR(VLOOKUP(February[[#This Row],[Drug Name4]],'Data Options'!$R$1:$S$100,2,FALSE), " ")</f>
        <v xml:space="preserve"> </v>
      </c>
      <c r="AI187" s="32"/>
      <c r="AJ187" s="32"/>
      <c r="AK187" s="53"/>
      <c r="AL187" s="21" t="str">
        <f>IFERROR(VLOOKUP(February[[#This Row],[Drug Name5]],'Data Options'!$R$1:$S$100,2,FALSE), " ")</f>
        <v xml:space="preserve"> </v>
      </c>
      <c r="AM187" s="32"/>
      <c r="AN187" s="32"/>
      <c r="AO187" s="53"/>
      <c r="AP187" s="21" t="str">
        <f>IFERROR(VLOOKUP(February[[#This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21" t="str">
        <f>IFERROR(VLOOKUP(February[[#This Row],[Drug Name7]],'Data Options'!$R$1:$S$100,2,FALSE), " ")</f>
        <v xml:space="preserve"> </v>
      </c>
      <c r="AZ187" s="32"/>
      <c r="BA187" s="32"/>
      <c r="BB187" s="53"/>
      <c r="BC187" s="21" t="str">
        <f>IFERROR(VLOOKUP(February[[#This Row],[Drug Name8]],'Data Options'!$R$1:$S$100,2,FALSE), " ")</f>
        <v xml:space="preserve"> </v>
      </c>
      <c r="BD187" s="32"/>
      <c r="BE187" s="32"/>
      <c r="BF187" s="53"/>
      <c r="BG187" s="21" t="str">
        <f>IFERROR(VLOOKUP(February[[#This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21" t="str">
        <f>IFERROR(VLOOKUP(February[[#This Row],[Drug Name]],'Data Options'!$R$1:$S$100,2,FALSE), " ")</f>
        <v xml:space="preserve"> </v>
      </c>
      <c r="R188" s="32"/>
      <c r="S188" s="32"/>
      <c r="T188" s="53"/>
      <c r="U188" s="21" t="str">
        <f>IFERROR(VLOOKUP(February[[#This Row],[Drug Name2]],'Data Options'!$R$1:$S$100,2,FALSE), " ")</f>
        <v xml:space="preserve"> </v>
      </c>
      <c r="V188" s="32"/>
      <c r="W188" s="32"/>
      <c r="X188" s="53"/>
      <c r="Y188" s="21" t="str">
        <f>IFERROR(VLOOKUP(February[[#This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21" t="str">
        <f>IFERROR(VLOOKUP(February[[#This Row],[Drug Name4]],'Data Options'!$R$1:$S$100,2,FALSE), " ")</f>
        <v xml:space="preserve"> </v>
      </c>
      <c r="AI188" s="32"/>
      <c r="AJ188" s="32"/>
      <c r="AK188" s="53"/>
      <c r="AL188" s="21" t="str">
        <f>IFERROR(VLOOKUP(February[[#This Row],[Drug Name5]],'Data Options'!$R$1:$S$100,2,FALSE), " ")</f>
        <v xml:space="preserve"> </v>
      </c>
      <c r="AM188" s="32"/>
      <c r="AN188" s="32"/>
      <c r="AO188" s="53"/>
      <c r="AP188" s="21" t="str">
        <f>IFERROR(VLOOKUP(February[[#This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21" t="str">
        <f>IFERROR(VLOOKUP(February[[#This Row],[Drug Name7]],'Data Options'!$R$1:$S$100,2,FALSE), " ")</f>
        <v xml:space="preserve"> </v>
      </c>
      <c r="AZ188" s="32"/>
      <c r="BA188" s="32"/>
      <c r="BB188" s="53"/>
      <c r="BC188" s="21" t="str">
        <f>IFERROR(VLOOKUP(February[[#This Row],[Drug Name8]],'Data Options'!$R$1:$S$100,2,FALSE), " ")</f>
        <v xml:space="preserve"> </v>
      </c>
      <c r="BD188" s="32"/>
      <c r="BE188" s="32"/>
      <c r="BF188" s="53"/>
      <c r="BG188" s="21" t="str">
        <f>IFERROR(VLOOKUP(February[[#This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21" t="str">
        <f>IFERROR(VLOOKUP(February[[#This Row],[Drug Name]],'Data Options'!$R$1:$S$100,2,FALSE), " ")</f>
        <v xml:space="preserve"> </v>
      </c>
      <c r="R189" s="32"/>
      <c r="S189" s="32"/>
      <c r="T189" s="53"/>
      <c r="U189" s="21" t="str">
        <f>IFERROR(VLOOKUP(February[[#This Row],[Drug Name2]],'Data Options'!$R$1:$S$100,2,FALSE), " ")</f>
        <v xml:space="preserve"> </v>
      </c>
      <c r="V189" s="32"/>
      <c r="W189" s="32"/>
      <c r="X189" s="53"/>
      <c r="Y189" s="21" t="str">
        <f>IFERROR(VLOOKUP(February[[#This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21" t="str">
        <f>IFERROR(VLOOKUP(February[[#This Row],[Drug Name4]],'Data Options'!$R$1:$S$100,2,FALSE), " ")</f>
        <v xml:space="preserve"> </v>
      </c>
      <c r="AI189" s="32"/>
      <c r="AJ189" s="32"/>
      <c r="AK189" s="53"/>
      <c r="AL189" s="21" t="str">
        <f>IFERROR(VLOOKUP(February[[#This Row],[Drug Name5]],'Data Options'!$R$1:$S$100,2,FALSE), " ")</f>
        <v xml:space="preserve"> </v>
      </c>
      <c r="AM189" s="32"/>
      <c r="AN189" s="32"/>
      <c r="AO189" s="53"/>
      <c r="AP189" s="21" t="str">
        <f>IFERROR(VLOOKUP(February[[#This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21" t="str">
        <f>IFERROR(VLOOKUP(February[[#This Row],[Drug Name7]],'Data Options'!$R$1:$S$100,2,FALSE), " ")</f>
        <v xml:space="preserve"> </v>
      </c>
      <c r="AZ189" s="32"/>
      <c r="BA189" s="32"/>
      <c r="BB189" s="53"/>
      <c r="BC189" s="21" t="str">
        <f>IFERROR(VLOOKUP(February[[#This Row],[Drug Name8]],'Data Options'!$R$1:$S$100,2,FALSE), " ")</f>
        <v xml:space="preserve"> </v>
      </c>
      <c r="BD189" s="32"/>
      <c r="BE189" s="32"/>
      <c r="BF189" s="53"/>
      <c r="BG189" s="21" t="str">
        <f>IFERROR(VLOOKUP(February[[#This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21" t="str">
        <f>IFERROR(VLOOKUP(February[[#This Row],[Drug Name]],'Data Options'!$R$1:$S$100,2,FALSE), " ")</f>
        <v xml:space="preserve"> </v>
      </c>
      <c r="R190" s="32"/>
      <c r="S190" s="32"/>
      <c r="T190" s="53"/>
      <c r="U190" s="21" t="str">
        <f>IFERROR(VLOOKUP(February[[#This Row],[Drug Name2]],'Data Options'!$R$1:$S$100,2,FALSE), " ")</f>
        <v xml:space="preserve"> </v>
      </c>
      <c r="V190" s="32"/>
      <c r="W190" s="32"/>
      <c r="X190" s="53"/>
      <c r="Y190" s="21" t="str">
        <f>IFERROR(VLOOKUP(February[[#This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21" t="str">
        <f>IFERROR(VLOOKUP(February[[#This Row],[Drug Name4]],'Data Options'!$R$1:$S$100,2,FALSE), " ")</f>
        <v xml:space="preserve"> </v>
      </c>
      <c r="AI190" s="32"/>
      <c r="AJ190" s="32"/>
      <c r="AK190" s="53"/>
      <c r="AL190" s="21" t="str">
        <f>IFERROR(VLOOKUP(February[[#This Row],[Drug Name5]],'Data Options'!$R$1:$S$100,2,FALSE), " ")</f>
        <v xml:space="preserve"> </v>
      </c>
      <c r="AM190" s="32"/>
      <c r="AN190" s="32"/>
      <c r="AO190" s="53"/>
      <c r="AP190" s="21" t="str">
        <f>IFERROR(VLOOKUP(February[[#This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21" t="str">
        <f>IFERROR(VLOOKUP(February[[#This Row],[Drug Name7]],'Data Options'!$R$1:$S$100,2,FALSE), " ")</f>
        <v xml:space="preserve"> </v>
      </c>
      <c r="AZ190" s="32"/>
      <c r="BA190" s="32"/>
      <c r="BB190" s="53"/>
      <c r="BC190" s="21" t="str">
        <f>IFERROR(VLOOKUP(February[[#This Row],[Drug Name8]],'Data Options'!$R$1:$S$100,2,FALSE), " ")</f>
        <v xml:space="preserve"> </v>
      </c>
      <c r="BD190" s="32"/>
      <c r="BE190" s="32"/>
      <c r="BF190" s="53"/>
      <c r="BG190" s="21" t="str">
        <f>IFERROR(VLOOKUP(February[[#This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21" t="str">
        <f>IFERROR(VLOOKUP(February[[#This Row],[Drug Name]],'Data Options'!$R$1:$S$100,2,FALSE), " ")</f>
        <v xml:space="preserve"> </v>
      </c>
      <c r="R191" s="32"/>
      <c r="S191" s="32"/>
      <c r="T191" s="53"/>
      <c r="U191" s="21" t="str">
        <f>IFERROR(VLOOKUP(February[[#This Row],[Drug Name2]],'Data Options'!$R$1:$S$100,2,FALSE), " ")</f>
        <v xml:space="preserve"> </v>
      </c>
      <c r="V191" s="32"/>
      <c r="W191" s="32"/>
      <c r="X191" s="53"/>
      <c r="Y191" s="21" t="str">
        <f>IFERROR(VLOOKUP(February[[#This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21" t="str">
        <f>IFERROR(VLOOKUP(February[[#This Row],[Drug Name4]],'Data Options'!$R$1:$S$100,2,FALSE), " ")</f>
        <v xml:space="preserve"> </v>
      </c>
      <c r="AI191" s="32"/>
      <c r="AJ191" s="32"/>
      <c r="AK191" s="53"/>
      <c r="AL191" s="21" t="str">
        <f>IFERROR(VLOOKUP(February[[#This Row],[Drug Name5]],'Data Options'!$R$1:$S$100,2,FALSE), " ")</f>
        <v xml:space="preserve"> </v>
      </c>
      <c r="AM191" s="32"/>
      <c r="AN191" s="32"/>
      <c r="AO191" s="53"/>
      <c r="AP191" s="21" t="str">
        <f>IFERROR(VLOOKUP(February[[#This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21" t="str">
        <f>IFERROR(VLOOKUP(February[[#This Row],[Drug Name7]],'Data Options'!$R$1:$S$100,2,FALSE), " ")</f>
        <v xml:space="preserve"> </v>
      </c>
      <c r="AZ191" s="32"/>
      <c r="BA191" s="32"/>
      <c r="BB191" s="53"/>
      <c r="BC191" s="21" t="str">
        <f>IFERROR(VLOOKUP(February[[#This Row],[Drug Name8]],'Data Options'!$R$1:$S$100,2,FALSE), " ")</f>
        <v xml:space="preserve"> </v>
      </c>
      <c r="BD191" s="32"/>
      <c r="BE191" s="32"/>
      <c r="BF191" s="53"/>
      <c r="BG191" s="21" t="str">
        <f>IFERROR(VLOOKUP(February[[#This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21" t="str">
        <f>IFERROR(VLOOKUP(February[[#This Row],[Drug Name]],'Data Options'!$R$1:$S$100,2,FALSE), " ")</f>
        <v xml:space="preserve"> </v>
      </c>
      <c r="R192" s="32"/>
      <c r="S192" s="32"/>
      <c r="T192" s="53"/>
      <c r="U192" s="21" t="str">
        <f>IFERROR(VLOOKUP(February[[#This Row],[Drug Name2]],'Data Options'!$R$1:$S$100,2,FALSE), " ")</f>
        <v xml:space="preserve"> </v>
      </c>
      <c r="V192" s="32"/>
      <c r="W192" s="32"/>
      <c r="X192" s="53"/>
      <c r="Y192" s="21" t="str">
        <f>IFERROR(VLOOKUP(February[[#This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21" t="str">
        <f>IFERROR(VLOOKUP(February[[#This Row],[Drug Name4]],'Data Options'!$R$1:$S$100,2,FALSE), " ")</f>
        <v xml:space="preserve"> </v>
      </c>
      <c r="AI192" s="32"/>
      <c r="AJ192" s="32"/>
      <c r="AK192" s="53"/>
      <c r="AL192" s="21" t="str">
        <f>IFERROR(VLOOKUP(February[[#This Row],[Drug Name5]],'Data Options'!$R$1:$S$100,2,FALSE), " ")</f>
        <v xml:space="preserve"> </v>
      </c>
      <c r="AM192" s="32"/>
      <c r="AN192" s="32"/>
      <c r="AO192" s="53"/>
      <c r="AP192" s="21" t="str">
        <f>IFERROR(VLOOKUP(February[[#This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21" t="str">
        <f>IFERROR(VLOOKUP(February[[#This Row],[Drug Name7]],'Data Options'!$R$1:$S$100,2,FALSE), " ")</f>
        <v xml:space="preserve"> </v>
      </c>
      <c r="AZ192" s="32"/>
      <c r="BA192" s="32"/>
      <c r="BB192" s="53"/>
      <c r="BC192" s="21" t="str">
        <f>IFERROR(VLOOKUP(February[[#This Row],[Drug Name8]],'Data Options'!$R$1:$S$100,2,FALSE), " ")</f>
        <v xml:space="preserve"> </v>
      </c>
      <c r="BD192" s="32"/>
      <c r="BE192" s="32"/>
      <c r="BF192" s="53"/>
      <c r="BG192" s="21" t="str">
        <f>IFERROR(VLOOKUP(February[[#This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21" t="str">
        <f>IFERROR(VLOOKUP(February[[#This Row],[Drug Name]],'Data Options'!$R$1:$S$100,2,FALSE), " ")</f>
        <v xml:space="preserve"> </v>
      </c>
      <c r="R193" s="32"/>
      <c r="S193" s="32"/>
      <c r="T193" s="53"/>
      <c r="U193" s="21" t="str">
        <f>IFERROR(VLOOKUP(February[[#This Row],[Drug Name2]],'Data Options'!$R$1:$S$100,2,FALSE), " ")</f>
        <v xml:space="preserve"> </v>
      </c>
      <c r="V193" s="32"/>
      <c r="W193" s="32"/>
      <c r="X193" s="53"/>
      <c r="Y193" s="21" t="str">
        <f>IFERROR(VLOOKUP(February[[#This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21" t="str">
        <f>IFERROR(VLOOKUP(February[[#This Row],[Drug Name4]],'Data Options'!$R$1:$S$100,2,FALSE), " ")</f>
        <v xml:space="preserve"> </v>
      </c>
      <c r="AI193" s="32"/>
      <c r="AJ193" s="32"/>
      <c r="AK193" s="53"/>
      <c r="AL193" s="21" t="str">
        <f>IFERROR(VLOOKUP(February[[#This Row],[Drug Name5]],'Data Options'!$R$1:$S$100,2,FALSE), " ")</f>
        <v xml:space="preserve"> </v>
      </c>
      <c r="AM193" s="32"/>
      <c r="AN193" s="32"/>
      <c r="AO193" s="53"/>
      <c r="AP193" s="21" t="str">
        <f>IFERROR(VLOOKUP(February[[#This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21" t="str">
        <f>IFERROR(VLOOKUP(February[[#This Row],[Drug Name7]],'Data Options'!$R$1:$S$100,2,FALSE), " ")</f>
        <v xml:space="preserve"> </v>
      </c>
      <c r="AZ193" s="32"/>
      <c r="BA193" s="32"/>
      <c r="BB193" s="53"/>
      <c r="BC193" s="21" t="str">
        <f>IFERROR(VLOOKUP(February[[#This Row],[Drug Name8]],'Data Options'!$R$1:$S$100,2,FALSE), " ")</f>
        <v xml:space="preserve"> </v>
      </c>
      <c r="BD193" s="32"/>
      <c r="BE193" s="32"/>
      <c r="BF193" s="53"/>
      <c r="BG193" s="21" t="str">
        <f>IFERROR(VLOOKUP(February[[#This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21" t="str">
        <f>IFERROR(VLOOKUP(February[[#This Row],[Drug Name]],'Data Options'!$R$1:$S$100,2,FALSE), " ")</f>
        <v xml:space="preserve"> </v>
      </c>
      <c r="R194" s="32"/>
      <c r="S194" s="32"/>
      <c r="T194" s="53"/>
      <c r="U194" s="21" t="str">
        <f>IFERROR(VLOOKUP(February[[#This Row],[Drug Name2]],'Data Options'!$R$1:$S$100,2,FALSE), " ")</f>
        <v xml:space="preserve"> </v>
      </c>
      <c r="V194" s="32"/>
      <c r="W194" s="32"/>
      <c r="X194" s="53"/>
      <c r="Y194" s="21" t="str">
        <f>IFERROR(VLOOKUP(February[[#This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21" t="str">
        <f>IFERROR(VLOOKUP(February[[#This Row],[Drug Name4]],'Data Options'!$R$1:$S$100,2,FALSE), " ")</f>
        <v xml:space="preserve"> </v>
      </c>
      <c r="AI194" s="32"/>
      <c r="AJ194" s="32"/>
      <c r="AK194" s="53"/>
      <c r="AL194" s="21" t="str">
        <f>IFERROR(VLOOKUP(February[[#This Row],[Drug Name5]],'Data Options'!$R$1:$S$100,2,FALSE), " ")</f>
        <v xml:space="preserve"> </v>
      </c>
      <c r="AM194" s="32"/>
      <c r="AN194" s="32"/>
      <c r="AO194" s="53"/>
      <c r="AP194" s="21" t="str">
        <f>IFERROR(VLOOKUP(February[[#This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21" t="str">
        <f>IFERROR(VLOOKUP(February[[#This Row],[Drug Name7]],'Data Options'!$R$1:$S$100,2,FALSE), " ")</f>
        <v xml:space="preserve"> </v>
      </c>
      <c r="AZ194" s="32"/>
      <c r="BA194" s="32"/>
      <c r="BB194" s="53"/>
      <c r="BC194" s="21" t="str">
        <f>IFERROR(VLOOKUP(February[[#This Row],[Drug Name8]],'Data Options'!$R$1:$S$100,2,FALSE), " ")</f>
        <v xml:space="preserve"> </v>
      </c>
      <c r="BD194" s="32"/>
      <c r="BE194" s="32"/>
      <c r="BF194" s="53"/>
      <c r="BG194" s="21" t="str">
        <f>IFERROR(VLOOKUP(February[[#This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21" t="str">
        <f>IFERROR(VLOOKUP(February[[#This Row],[Drug Name]],'Data Options'!$R$1:$S$100,2,FALSE), " ")</f>
        <v xml:space="preserve"> </v>
      </c>
      <c r="R195" s="32"/>
      <c r="S195" s="32"/>
      <c r="T195" s="53"/>
      <c r="U195" s="21" t="str">
        <f>IFERROR(VLOOKUP(February[[#This Row],[Drug Name2]],'Data Options'!$R$1:$S$100,2,FALSE), " ")</f>
        <v xml:space="preserve"> </v>
      </c>
      <c r="V195" s="32"/>
      <c r="W195" s="32"/>
      <c r="X195" s="53"/>
      <c r="Y195" s="21" t="str">
        <f>IFERROR(VLOOKUP(February[[#This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21" t="str">
        <f>IFERROR(VLOOKUP(February[[#This Row],[Drug Name4]],'Data Options'!$R$1:$S$100,2,FALSE), " ")</f>
        <v xml:space="preserve"> </v>
      </c>
      <c r="AI195" s="32"/>
      <c r="AJ195" s="32"/>
      <c r="AK195" s="53"/>
      <c r="AL195" s="21" t="str">
        <f>IFERROR(VLOOKUP(February[[#This Row],[Drug Name5]],'Data Options'!$R$1:$S$100,2,FALSE), " ")</f>
        <v xml:space="preserve"> </v>
      </c>
      <c r="AM195" s="32"/>
      <c r="AN195" s="32"/>
      <c r="AO195" s="53"/>
      <c r="AP195" s="21" t="str">
        <f>IFERROR(VLOOKUP(February[[#This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21" t="str">
        <f>IFERROR(VLOOKUP(February[[#This Row],[Drug Name7]],'Data Options'!$R$1:$S$100,2,FALSE), " ")</f>
        <v xml:space="preserve"> </v>
      </c>
      <c r="AZ195" s="32"/>
      <c r="BA195" s="32"/>
      <c r="BB195" s="53"/>
      <c r="BC195" s="21" t="str">
        <f>IFERROR(VLOOKUP(February[[#This Row],[Drug Name8]],'Data Options'!$R$1:$S$100,2,FALSE), " ")</f>
        <v xml:space="preserve"> </v>
      </c>
      <c r="BD195" s="32"/>
      <c r="BE195" s="32"/>
      <c r="BF195" s="53"/>
      <c r="BG195" s="21" t="str">
        <f>IFERROR(VLOOKUP(February[[#This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21" t="str">
        <f>IFERROR(VLOOKUP(February[[#This Row],[Drug Name]],'Data Options'!$R$1:$S$100,2,FALSE), " ")</f>
        <v xml:space="preserve"> </v>
      </c>
      <c r="R196" s="32"/>
      <c r="S196" s="32"/>
      <c r="T196" s="53"/>
      <c r="U196" s="21" t="str">
        <f>IFERROR(VLOOKUP(February[[#This Row],[Drug Name2]],'Data Options'!$R$1:$S$100,2,FALSE), " ")</f>
        <v xml:space="preserve"> </v>
      </c>
      <c r="V196" s="32"/>
      <c r="W196" s="32"/>
      <c r="X196" s="53"/>
      <c r="Y196" s="21" t="str">
        <f>IFERROR(VLOOKUP(February[[#This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21" t="str">
        <f>IFERROR(VLOOKUP(February[[#This Row],[Drug Name4]],'Data Options'!$R$1:$S$100,2,FALSE), " ")</f>
        <v xml:space="preserve"> </v>
      </c>
      <c r="AI196" s="32"/>
      <c r="AJ196" s="32"/>
      <c r="AK196" s="53"/>
      <c r="AL196" s="21" t="str">
        <f>IFERROR(VLOOKUP(February[[#This Row],[Drug Name5]],'Data Options'!$R$1:$S$100,2,FALSE), " ")</f>
        <v xml:space="preserve"> </v>
      </c>
      <c r="AM196" s="32"/>
      <c r="AN196" s="32"/>
      <c r="AO196" s="53"/>
      <c r="AP196" s="21" t="str">
        <f>IFERROR(VLOOKUP(February[[#This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21" t="str">
        <f>IFERROR(VLOOKUP(February[[#This Row],[Drug Name7]],'Data Options'!$R$1:$S$100,2,FALSE), " ")</f>
        <v xml:space="preserve"> </v>
      </c>
      <c r="AZ196" s="32"/>
      <c r="BA196" s="32"/>
      <c r="BB196" s="53"/>
      <c r="BC196" s="21" t="str">
        <f>IFERROR(VLOOKUP(February[[#This Row],[Drug Name8]],'Data Options'!$R$1:$S$100,2,FALSE), " ")</f>
        <v xml:space="preserve"> </v>
      </c>
      <c r="BD196" s="32"/>
      <c r="BE196" s="32"/>
      <c r="BF196" s="53"/>
      <c r="BG196" s="21" t="str">
        <f>IFERROR(VLOOKUP(February[[#This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21" t="str">
        <f>IFERROR(VLOOKUP(February[[#This Row],[Drug Name]],'Data Options'!$R$1:$S$100,2,FALSE), " ")</f>
        <v xml:space="preserve"> </v>
      </c>
      <c r="R197" s="32"/>
      <c r="S197" s="32"/>
      <c r="T197" s="53"/>
      <c r="U197" s="21" t="str">
        <f>IFERROR(VLOOKUP(February[[#This Row],[Drug Name2]],'Data Options'!$R$1:$S$100,2,FALSE), " ")</f>
        <v xml:space="preserve"> </v>
      </c>
      <c r="V197" s="32"/>
      <c r="W197" s="32"/>
      <c r="X197" s="53"/>
      <c r="Y197" s="21" t="str">
        <f>IFERROR(VLOOKUP(February[[#This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21" t="str">
        <f>IFERROR(VLOOKUP(February[[#This Row],[Drug Name4]],'Data Options'!$R$1:$S$100,2,FALSE), " ")</f>
        <v xml:space="preserve"> </v>
      </c>
      <c r="AI197" s="32"/>
      <c r="AJ197" s="32"/>
      <c r="AK197" s="53"/>
      <c r="AL197" s="21" t="str">
        <f>IFERROR(VLOOKUP(February[[#This Row],[Drug Name5]],'Data Options'!$R$1:$S$100,2,FALSE), " ")</f>
        <v xml:space="preserve"> </v>
      </c>
      <c r="AM197" s="32"/>
      <c r="AN197" s="32"/>
      <c r="AO197" s="53"/>
      <c r="AP197" s="21" t="str">
        <f>IFERROR(VLOOKUP(February[[#This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21" t="str">
        <f>IFERROR(VLOOKUP(February[[#This Row],[Drug Name7]],'Data Options'!$R$1:$S$100,2,FALSE), " ")</f>
        <v xml:space="preserve"> </v>
      </c>
      <c r="AZ197" s="32"/>
      <c r="BA197" s="32"/>
      <c r="BB197" s="53"/>
      <c r="BC197" s="21" t="str">
        <f>IFERROR(VLOOKUP(February[[#This Row],[Drug Name8]],'Data Options'!$R$1:$S$100,2,FALSE), " ")</f>
        <v xml:space="preserve"> </v>
      </c>
      <c r="BD197" s="32"/>
      <c r="BE197" s="32"/>
      <c r="BF197" s="53"/>
      <c r="BG197" s="21" t="str">
        <f>IFERROR(VLOOKUP(February[[#This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21" t="str">
        <f>IFERROR(VLOOKUP(February[[#This Row],[Drug Name]],'Data Options'!$R$1:$S$100,2,FALSE), " ")</f>
        <v xml:space="preserve"> </v>
      </c>
      <c r="R198" s="32"/>
      <c r="S198" s="32"/>
      <c r="T198" s="53"/>
      <c r="U198" s="21" t="str">
        <f>IFERROR(VLOOKUP(February[[#This Row],[Drug Name2]],'Data Options'!$R$1:$S$100,2,FALSE), " ")</f>
        <v xml:space="preserve"> </v>
      </c>
      <c r="V198" s="32"/>
      <c r="W198" s="32"/>
      <c r="X198" s="53"/>
      <c r="Y198" s="21" t="str">
        <f>IFERROR(VLOOKUP(February[[#This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21" t="str">
        <f>IFERROR(VLOOKUP(February[[#This Row],[Drug Name4]],'Data Options'!$R$1:$S$100,2,FALSE), " ")</f>
        <v xml:space="preserve"> </v>
      </c>
      <c r="AI198" s="32"/>
      <c r="AJ198" s="32"/>
      <c r="AK198" s="53"/>
      <c r="AL198" s="21" t="str">
        <f>IFERROR(VLOOKUP(February[[#This Row],[Drug Name5]],'Data Options'!$R$1:$S$100,2,FALSE), " ")</f>
        <v xml:space="preserve"> </v>
      </c>
      <c r="AM198" s="32"/>
      <c r="AN198" s="32"/>
      <c r="AO198" s="53"/>
      <c r="AP198" s="21" t="str">
        <f>IFERROR(VLOOKUP(February[[#This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21" t="str">
        <f>IFERROR(VLOOKUP(February[[#This Row],[Drug Name7]],'Data Options'!$R$1:$S$100,2,FALSE), " ")</f>
        <v xml:space="preserve"> </v>
      </c>
      <c r="AZ198" s="32"/>
      <c r="BA198" s="32"/>
      <c r="BB198" s="53"/>
      <c r="BC198" s="21" t="str">
        <f>IFERROR(VLOOKUP(February[[#This Row],[Drug Name8]],'Data Options'!$R$1:$S$100,2,FALSE), " ")</f>
        <v xml:space="preserve"> </v>
      </c>
      <c r="BD198" s="32"/>
      <c r="BE198" s="32"/>
      <c r="BF198" s="53"/>
      <c r="BG198" s="21" t="str">
        <f>IFERROR(VLOOKUP(February[[#This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21" t="str">
        <f>IFERROR(VLOOKUP(February[[#This Row],[Drug Name]],'Data Options'!$R$1:$S$100,2,FALSE), " ")</f>
        <v xml:space="preserve"> </v>
      </c>
      <c r="R199" s="32"/>
      <c r="S199" s="32"/>
      <c r="T199" s="53"/>
      <c r="U199" s="21" t="str">
        <f>IFERROR(VLOOKUP(February[[#This Row],[Drug Name2]],'Data Options'!$R$1:$S$100,2,FALSE), " ")</f>
        <v xml:space="preserve"> </v>
      </c>
      <c r="V199" s="32"/>
      <c r="W199" s="32"/>
      <c r="X199" s="53"/>
      <c r="Y199" s="21" t="str">
        <f>IFERROR(VLOOKUP(February[[#This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21" t="str">
        <f>IFERROR(VLOOKUP(February[[#This Row],[Drug Name4]],'Data Options'!$R$1:$S$100,2,FALSE), " ")</f>
        <v xml:space="preserve"> </v>
      </c>
      <c r="AI199" s="32"/>
      <c r="AJ199" s="32"/>
      <c r="AK199" s="53"/>
      <c r="AL199" s="21" t="str">
        <f>IFERROR(VLOOKUP(February[[#This Row],[Drug Name5]],'Data Options'!$R$1:$S$100,2,FALSE), " ")</f>
        <v xml:space="preserve"> </v>
      </c>
      <c r="AM199" s="32"/>
      <c r="AN199" s="32"/>
      <c r="AO199" s="53"/>
      <c r="AP199" s="21" t="str">
        <f>IFERROR(VLOOKUP(February[[#This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21" t="str">
        <f>IFERROR(VLOOKUP(February[[#This Row],[Drug Name7]],'Data Options'!$R$1:$S$100,2,FALSE), " ")</f>
        <v xml:space="preserve"> </v>
      </c>
      <c r="AZ199" s="32"/>
      <c r="BA199" s="32"/>
      <c r="BB199" s="53"/>
      <c r="BC199" s="21" t="str">
        <f>IFERROR(VLOOKUP(February[[#This Row],[Drug Name8]],'Data Options'!$R$1:$S$100,2,FALSE), " ")</f>
        <v xml:space="preserve"> </v>
      </c>
      <c r="BD199" s="32"/>
      <c r="BE199" s="32"/>
      <c r="BF199" s="53"/>
      <c r="BG199" s="21" t="str">
        <f>IFERROR(VLOOKUP(February[[#This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21" t="str">
        <f>IFERROR(VLOOKUP(February[[#This Row],[Drug Name]],'Data Options'!$R$1:$S$100,2,FALSE), " ")</f>
        <v xml:space="preserve"> </v>
      </c>
      <c r="R200" s="32"/>
      <c r="S200" s="32"/>
      <c r="T200" s="53"/>
      <c r="U200" s="21" t="str">
        <f>IFERROR(VLOOKUP(February[[#This Row],[Drug Name2]],'Data Options'!$R$1:$S$100,2,FALSE), " ")</f>
        <v xml:space="preserve"> </v>
      </c>
      <c r="V200" s="32"/>
      <c r="W200" s="32"/>
      <c r="X200" s="53"/>
      <c r="Y200" s="21" t="str">
        <f>IFERROR(VLOOKUP(February[[#This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21" t="str">
        <f>IFERROR(VLOOKUP(February[[#This Row],[Drug Name4]],'Data Options'!$R$1:$S$100,2,FALSE), " ")</f>
        <v xml:space="preserve"> </v>
      </c>
      <c r="AI200" s="32"/>
      <c r="AJ200" s="32"/>
      <c r="AK200" s="53"/>
      <c r="AL200" s="21" t="str">
        <f>IFERROR(VLOOKUP(February[[#This Row],[Drug Name5]],'Data Options'!$R$1:$S$100,2,FALSE), " ")</f>
        <v xml:space="preserve"> </v>
      </c>
      <c r="AM200" s="32"/>
      <c r="AN200" s="32"/>
      <c r="AO200" s="53"/>
      <c r="AP200" s="21" t="str">
        <f>IFERROR(VLOOKUP(February[[#This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21" t="str">
        <f>IFERROR(VLOOKUP(February[[#This Row],[Drug Name7]],'Data Options'!$R$1:$S$100,2,FALSE), " ")</f>
        <v xml:space="preserve"> </v>
      </c>
      <c r="AZ200" s="32"/>
      <c r="BA200" s="32"/>
      <c r="BB200" s="53"/>
      <c r="BC200" s="21" t="str">
        <f>IFERROR(VLOOKUP(February[[#This Row],[Drug Name8]],'Data Options'!$R$1:$S$100,2,FALSE), " ")</f>
        <v xml:space="preserve"> </v>
      </c>
      <c r="BD200" s="32"/>
      <c r="BE200" s="32"/>
      <c r="BF200" s="53"/>
      <c r="BG200" s="21" t="str">
        <f>IFERROR(VLOOKUP(February[[#This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21" t="str">
        <f>IFERROR(VLOOKUP(February[[#This Row],[Drug Name]],'Data Options'!$R$1:$S$100,2,FALSE), " ")</f>
        <v xml:space="preserve"> </v>
      </c>
      <c r="R201" s="32"/>
      <c r="S201" s="32"/>
      <c r="T201" s="53"/>
      <c r="U201" s="21" t="str">
        <f>IFERROR(VLOOKUP(February[[#This Row],[Drug Name2]],'Data Options'!$R$1:$S$100,2,FALSE), " ")</f>
        <v xml:space="preserve"> </v>
      </c>
      <c r="V201" s="32"/>
      <c r="W201" s="32"/>
      <c r="X201" s="53"/>
      <c r="Y201" s="21" t="str">
        <f>IFERROR(VLOOKUP(February[[#This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21" t="str">
        <f>IFERROR(VLOOKUP(February[[#This Row],[Drug Name4]],'Data Options'!$R$1:$S$100,2,FALSE), " ")</f>
        <v xml:space="preserve"> </v>
      </c>
      <c r="AI201" s="32"/>
      <c r="AJ201" s="32"/>
      <c r="AK201" s="53"/>
      <c r="AL201" s="21" t="str">
        <f>IFERROR(VLOOKUP(February[[#This Row],[Drug Name5]],'Data Options'!$R$1:$S$100,2,FALSE), " ")</f>
        <v xml:space="preserve"> </v>
      </c>
      <c r="AM201" s="32"/>
      <c r="AN201" s="32"/>
      <c r="AO201" s="53"/>
      <c r="AP201" s="21" t="str">
        <f>IFERROR(VLOOKUP(February[[#This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21" t="str">
        <f>IFERROR(VLOOKUP(February[[#This Row],[Drug Name7]],'Data Options'!$R$1:$S$100,2,FALSE), " ")</f>
        <v xml:space="preserve"> </v>
      </c>
      <c r="AZ201" s="32"/>
      <c r="BA201" s="32"/>
      <c r="BB201" s="53"/>
      <c r="BC201" s="21" t="str">
        <f>IFERROR(VLOOKUP(February[[#This Row],[Drug Name8]],'Data Options'!$R$1:$S$100,2,FALSE), " ")</f>
        <v xml:space="preserve"> </v>
      </c>
      <c r="BD201" s="32"/>
      <c r="BE201" s="32"/>
      <c r="BF201" s="53"/>
      <c r="BG201" s="21" t="str">
        <f>IFERROR(VLOOKUP(February[[#This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FH5LC9lEUJdCRSW9592MMWnWoQXrYENtyZXmNZ84uVSUzEqq9DTMRqs6/ayFFrvLOnzhW09Sb+H05LxhPauKhA==" saltValue="wyebYAgP9aiDA+LurXjCIQ==" spinCount="100000" sheet="1" objects="1" scenarios="1"/>
  <mergeCells count="13">
    <mergeCell ref="AG2:AJ2"/>
    <mergeCell ref="AX2:BA2"/>
    <mergeCell ref="BB2:BE2"/>
    <mergeCell ref="BF2:BI2"/>
    <mergeCell ref="AB1:AF2"/>
    <mergeCell ref="AS1:AW2"/>
    <mergeCell ref="AO2:AR2"/>
    <mergeCell ref="A1:J2"/>
    <mergeCell ref="K1:Y1"/>
    <mergeCell ref="K2:O2"/>
    <mergeCell ref="P2:S2"/>
    <mergeCell ref="T2:W2"/>
    <mergeCell ref="X2:AA2"/>
  </mergeCells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AE4:AE201 AV4:AV201 N4 N6:N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workbookViewId="0">
      <selection activeCell="C11" sqref="C11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>
      <c r="A4" s="51">
        <v>43891</v>
      </c>
      <c r="B4" s="52" t="s">
        <v>317</v>
      </c>
      <c r="C4" s="32">
        <v>20021</v>
      </c>
      <c r="D4" s="32" t="s">
        <v>12</v>
      </c>
      <c r="E4" s="32" t="s">
        <v>16</v>
      </c>
      <c r="F4" s="32" t="s">
        <v>220</v>
      </c>
      <c r="G4" s="32" t="s">
        <v>20</v>
      </c>
      <c r="H4" s="32"/>
      <c r="I4" s="32" t="s">
        <v>22</v>
      </c>
      <c r="J4" s="32">
        <v>1</v>
      </c>
      <c r="K4" s="32" t="s">
        <v>222</v>
      </c>
      <c r="L4" s="32"/>
      <c r="M4" s="32">
        <v>1</v>
      </c>
      <c r="N4" s="31" t="s">
        <v>22</v>
      </c>
      <c r="O4" s="31" t="s">
        <v>22</v>
      </c>
      <c r="P4" s="53" t="s">
        <v>39</v>
      </c>
      <c r="Q4" s="21" t="str">
        <f>IFERROR(VLOOKUP(March[[#This Row],[Drug Name]],'Data Options'!$R$1:$S$100,2,FALSE), " ")</f>
        <v>Tetracyclines</v>
      </c>
      <c r="R4" s="32" t="s">
        <v>92</v>
      </c>
      <c r="S4" s="32" t="s">
        <v>89</v>
      </c>
      <c r="T4" s="53"/>
      <c r="U4" s="21" t="str">
        <f>IFERROR(VLOOKUP(March[[#This Row],[Drug Name2]],'Data Options'!$R$1:$S$100,2,FALSE), " ")</f>
        <v xml:space="preserve"> </v>
      </c>
      <c r="V4" s="32"/>
      <c r="W4" s="32"/>
      <c r="X4" s="53"/>
      <c r="Y4" s="21" t="str">
        <f>IFERROR(VLOOKUP(March[[#This Row],[Drug Name3]],'Data Options'!$R$1:$S$100,2,FALSE), " ")</f>
        <v xml:space="preserve"> </v>
      </c>
      <c r="Z4" s="32"/>
      <c r="AA4" s="32"/>
      <c r="AB4" s="32"/>
      <c r="AC4" s="32"/>
      <c r="AD4" s="32"/>
      <c r="AE4" s="31"/>
      <c r="AF4" s="31"/>
      <c r="AG4" s="53"/>
      <c r="AH4" s="21" t="str">
        <f>IFERROR(VLOOKUP(March[[#This Row],[Drug Name4]],'Data Options'!$R$1:$S$100,2,FALSE), " ")</f>
        <v xml:space="preserve"> </v>
      </c>
      <c r="AI4" s="32"/>
      <c r="AJ4" s="32"/>
      <c r="AK4" s="53"/>
      <c r="AL4" s="21" t="str">
        <f>IFERROR(VLOOKUP(March[[#This Row],[Drug Name5]],'Data Options'!$R$1:$S$100,2,FALSE), " ")</f>
        <v xml:space="preserve"> </v>
      </c>
      <c r="AM4" s="32"/>
      <c r="AN4" s="32"/>
      <c r="AO4" s="53"/>
      <c r="AP4" s="21" t="str">
        <f>IFERROR(VLOOKUP(March[[#This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21" t="str">
        <f>IFERROR(VLOOKUP(March[[#This Row],[Drug Name7]],'Data Options'!$R$1:$S$100,2,FALSE), " ")</f>
        <v xml:space="preserve"> </v>
      </c>
      <c r="AZ4" s="32"/>
      <c r="BA4" s="32"/>
      <c r="BB4" s="53"/>
      <c r="BC4" s="21" t="str">
        <f>IFERROR(VLOOKUP(March[[#This Row],[Drug Name8]],'Data Options'!$R$1:$S$100,2,FALSE), " ")</f>
        <v xml:space="preserve"> </v>
      </c>
      <c r="BD4" s="32"/>
      <c r="BE4" s="32"/>
      <c r="BF4" s="53"/>
      <c r="BG4" s="21" t="str">
        <f>IFERROR(VLOOKUP(March[[#This Row],[Drug Name9]],'Data Options'!$R$1:$S$100,2,FALSE), " ")</f>
        <v xml:space="preserve"> </v>
      </c>
      <c r="BH4" s="32"/>
      <c r="BI4" s="32"/>
    </row>
    <row r="5" spans="1:61">
      <c r="A5" s="51">
        <v>43891</v>
      </c>
      <c r="B5" s="52" t="s">
        <v>317</v>
      </c>
      <c r="C5" s="32">
        <v>20022</v>
      </c>
      <c r="D5" s="32" t="s">
        <v>13</v>
      </c>
      <c r="E5" s="32" t="s">
        <v>17</v>
      </c>
      <c r="F5" s="32" t="s">
        <v>221</v>
      </c>
      <c r="G5" s="32" t="s">
        <v>18</v>
      </c>
      <c r="H5" s="32"/>
      <c r="I5" s="32" t="s">
        <v>23</v>
      </c>
      <c r="J5" s="32">
        <v>0</v>
      </c>
      <c r="K5" s="32" t="s">
        <v>100</v>
      </c>
      <c r="L5" s="32"/>
      <c r="M5" s="32"/>
      <c r="N5" s="31"/>
      <c r="O5" s="31"/>
      <c r="P5" s="53"/>
      <c r="Q5" s="21" t="str">
        <f>IFERROR(VLOOKUP(March[[#This Row],[Drug Name]],'Data Options'!$R$1:$S$100,2,FALSE), " ")</f>
        <v xml:space="preserve"> </v>
      </c>
      <c r="R5" s="32"/>
      <c r="S5" s="32"/>
      <c r="T5" s="53"/>
      <c r="U5" s="21" t="str">
        <f>IFERROR(VLOOKUP(March[[#This Row],[Drug Name2]],'Data Options'!$R$1:$S$100,2,FALSE), " ")</f>
        <v xml:space="preserve"> </v>
      </c>
      <c r="V5" s="32"/>
      <c r="W5" s="32"/>
      <c r="X5" s="53"/>
      <c r="Y5" s="21" t="str">
        <f>IFERROR(VLOOKUP(March[[#This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21" t="str">
        <f>IFERROR(VLOOKUP(March[[#This Row],[Drug Name4]],'Data Options'!$R$1:$S$100,2,FALSE), " ")</f>
        <v xml:space="preserve"> </v>
      </c>
      <c r="AI5" s="32"/>
      <c r="AJ5" s="32"/>
      <c r="AK5" s="53"/>
      <c r="AL5" s="21" t="str">
        <f>IFERROR(VLOOKUP(March[[#This Row],[Drug Name5]],'Data Options'!$R$1:$S$100,2,FALSE), " ")</f>
        <v xml:space="preserve"> </v>
      </c>
      <c r="AM5" s="32"/>
      <c r="AN5" s="32"/>
      <c r="AO5" s="53"/>
      <c r="AP5" s="21" t="str">
        <f>IFERROR(VLOOKUP(March[[#This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21" t="str">
        <f>IFERROR(VLOOKUP(March[[#This Row],[Drug Name7]],'Data Options'!$R$1:$S$100,2,FALSE), " ")</f>
        <v xml:space="preserve"> </v>
      </c>
      <c r="AZ5" s="32"/>
      <c r="BA5" s="32"/>
      <c r="BB5" s="53"/>
      <c r="BC5" s="21" t="str">
        <f>IFERROR(VLOOKUP(March[[#This Row],[Drug Name8]],'Data Options'!$R$1:$S$100,2,FALSE), " ")</f>
        <v xml:space="preserve"> </v>
      </c>
      <c r="BD5" s="32"/>
      <c r="BE5" s="32"/>
      <c r="BF5" s="53"/>
      <c r="BG5" s="21" t="str">
        <f>IFERROR(VLOOKUP(March[[#This Row],[Drug Name9]],'Data Options'!$R$1:$S$100,2,FALSE), " ")</f>
        <v xml:space="preserve"> </v>
      </c>
      <c r="BH5" s="32"/>
      <c r="BI5" s="32"/>
    </row>
    <row r="6" spans="1:61">
      <c r="A6" s="51">
        <v>43892</v>
      </c>
      <c r="B6" s="52" t="s">
        <v>317</v>
      </c>
      <c r="C6" s="32">
        <v>20023</v>
      </c>
      <c r="D6" s="32" t="s">
        <v>13</v>
      </c>
      <c r="E6" s="32" t="s">
        <v>15</v>
      </c>
      <c r="F6" s="32" t="s">
        <v>218</v>
      </c>
      <c r="G6" s="32" t="s">
        <v>18</v>
      </c>
      <c r="H6" s="32"/>
      <c r="I6" s="32" t="s">
        <v>22</v>
      </c>
      <c r="J6" s="32">
        <v>1</v>
      </c>
      <c r="K6" s="32" t="s">
        <v>86</v>
      </c>
      <c r="L6" s="32"/>
      <c r="M6" s="32">
        <v>1</v>
      </c>
      <c r="N6" s="31" t="s">
        <v>22</v>
      </c>
      <c r="O6" s="31" t="s">
        <v>22</v>
      </c>
      <c r="P6" s="53" t="s">
        <v>35</v>
      </c>
      <c r="Q6" s="21" t="str">
        <f>IFERROR(VLOOKUP(March[[#This Row],[Drug Name]],'Data Options'!$R$1:$S$100,2,FALSE), " ")</f>
        <v>Cephalosporins</v>
      </c>
      <c r="R6" s="32" t="s">
        <v>92</v>
      </c>
      <c r="S6" s="32" t="s">
        <v>89</v>
      </c>
      <c r="T6" s="53"/>
      <c r="U6" s="21" t="str">
        <f>IFERROR(VLOOKUP(March[[#This Row],[Drug Name2]],'Data Options'!$R$1:$S$100,2,FALSE), " ")</f>
        <v xml:space="preserve"> </v>
      </c>
      <c r="V6" s="32"/>
      <c r="W6" s="32"/>
      <c r="X6" s="53"/>
      <c r="Y6" s="21" t="str">
        <f>IFERROR(VLOOKUP(March[[#This Row],[Drug Name3]],'Data Options'!$R$1:$S$100,2,FALSE), " ")</f>
        <v xml:space="preserve"> </v>
      </c>
      <c r="Z6" s="32"/>
      <c r="AA6" s="32"/>
      <c r="AB6" s="32"/>
      <c r="AC6" s="32"/>
      <c r="AD6" s="32"/>
      <c r="AE6" s="31"/>
      <c r="AF6" s="31"/>
      <c r="AG6" s="53"/>
      <c r="AH6" s="21" t="str">
        <f>IFERROR(VLOOKUP(March[[#This Row],[Drug Name4]],'Data Options'!$R$1:$S$100,2,FALSE), " ")</f>
        <v xml:space="preserve"> </v>
      </c>
      <c r="AI6" s="32"/>
      <c r="AJ6" s="32"/>
      <c r="AK6" s="53"/>
      <c r="AL6" s="21" t="str">
        <f>IFERROR(VLOOKUP(March[[#This Row],[Drug Name5]],'Data Options'!$R$1:$S$100,2,FALSE), " ")</f>
        <v xml:space="preserve"> </v>
      </c>
      <c r="AM6" s="32"/>
      <c r="AN6" s="32"/>
      <c r="AO6" s="53"/>
      <c r="AP6" s="21" t="str">
        <f>IFERROR(VLOOKUP(March[[#This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21" t="str">
        <f>IFERROR(VLOOKUP(March[[#This Row],[Drug Name7]],'Data Options'!$R$1:$S$100,2,FALSE), " ")</f>
        <v xml:space="preserve"> </v>
      </c>
      <c r="AZ6" s="32"/>
      <c r="BA6" s="32"/>
      <c r="BB6" s="53"/>
      <c r="BC6" s="21" t="str">
        <f>IFERROR(VLOOKUP(March[[#This Row],[Drug Name8]],'Data Options'!$R$1:$S$100,2,FALSE), " ")</f>
        <v xml:space="preserve"> </v>
      </c>
      <c r="BD6" s="32"/>
      <c r="BE6" s="32"/>
      <c r="BF6" s="53"/>
      <c r="BG6" s="21" t="str">
        <f>IFERROR(VLOOKUP(March[[#This Row],[Drug Name9]],'Data Options'!$R$1:$S$100,2,FALSE), " ")</f>
        <v xml:space="preserve"> </v>
      </c>
      <c r="BH6" s="32"/>
      <c r="BI6" s="32"/>
    </row>
    <row r="7" spans="1:61" ht="31">
      <c r="A7" s="51">
        <v>43892</v>
      </c>
      <c r="B7" s="52" t="s">
        <v>317</v>
      </c>
      <c r="C7" s="32">
        <v>20024</v>
      </c>
      <c r="D7" s="32" t="s">
        <v>12</v>
      </c>
      <c r="E7" s="32" t="s">
        <v>15</v>
      </c>
      <c r="F7" s="32" t="s">
        <v>219</v>
      </c>
      <c r="G7" s="32" t="s">
        <v>19</v>
      </c>
      <c r="H7" s="32"/>
      <c r="I7" s="32" t="s">
        <v>22</v>
      </c>
      <c r="J7" s="32">
        <v>2</v>
      </c>
      <c r="K7" s="32" t="s">
        <v>101</v>
      </c>
      <c r="L7" s="32"/>
      <c r="M7" s="32">
        <v>1</v>
      </c>
      <c r="N7" s="31" t="s">
        <v>22</v>
      </c>
      <c r="O7" s="31" t="s">
        <v>22</v>
      </c>
      <c r="P7" s="53" t="s">
        <v>39</v>
      </c>
      <c r="Q7" s="21" t="str">
        <f>IFERROR(VLOOKUP(March[[#This Row],[Drug Name]],'Data Options'!$R$1:$S$100,2,FALSE), " ")</f>
        <v>Tetracyclines</v>
      </c>
      <c r="R7" s="32" t="s">
        <v>92</v>
      </c>
      <c r="S7" s="32" t="s">
        <v>89</v>
      </c>
      <c r="T7" s="53"/>
      <c r="U7" s="21" t="str">
        <f>IFERROR(VLOOKUP(March[[#This Row],[Drug Name2]],'Data Options'!$R$1:$S$100,2,FALSE), " ")</f>
        <v xml:space="preserve"> </v>
      </c>
      <c r="V7" s="32"/>
      <c r="W7" s="32"/>
      <c r="X7" s="53"/>
      <c r="Y7" s="21" t="str">
        <f>IFERROR(VLOOKUP(March[[#This Row],[Drug Name3]],'Data Options'!$R$1:$S$100,2,FALSE), " ")</f>
        <v xml:space="preserve"> </v>
      </c>
      <c r="Z7" s="32"/>
      <c r="AA7" s="32"/>
      <c r="AB7" s="32" t="s">
        <v>102</v>
      </c>
      <c r="AC7" s="32"/>
      <c r="AD7" s="32">
        <v>1</v>
      </c>
      <c r="AE7" s="31" t="s">
        <v>22</v>
      </c>
      <c r="AF7" s="31" t="s">
        <v>23</v>
      </c>
      <c r="AG7" s="53" t="s">
        <v>43</v>
      </c>
      <c r="AH7" s="21" t="str">
        <f>IFERROR(VLOOKUP(March[[#This Row],[Drug Name4]],'Data Options'!$R$1:$S$100,2,FALSE), " ")</f>
        <v>Nitroimidazoles</v>
      </c>
      <c r="AI7" s="32" t="s">
        <v>92</v>
      </c>
      <c r="AJ7" s="32" t="s">
        <v>89</v>
      </c>
      <c r="AK7" s="53"/>
      <c r="AL7" s="21" t="str">
        <f>IFERROR(VLOOKUP(March[[#This Row],[Drug Name5]],'Data Options'!$R$1:$S$100,2,FALSE), " ")</f>
        <v xml:space="preserve"> </v>
      </c>
      <c r="AM7" s="32"/>
      <c r="AN7" s="32"/>
      <c r="AO7" s="53"/>
      <c r="AP7" s="21" t="str">
        <f>IFERROR(VLOOKUP(March[[#This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21" t="str">
        <f>IFERROR(VLOOKUP(March[[#This Row],[Drug Name7]],'Data Options'!$R$1:$S$100,2,FALSE), " ")</f>
        <v xml:space="preserve"> </v>
      </c>
      <c r="AZ7" s="32"/>
      <c r="BA7" s="32"/>
      <c r="BB7" s="53"/>
      <c r="BC7" s="21" t="str">
        <f>IFERROR(VLOOKUP(March[[#This Row],[Drug Name8]],'Data Options'!$R$1:$S$100,2,FALSE), " ")</f>
        <v xml:space="preserve"> </v>
      </c>
      <c r="BD7" s="32"/>
      <c r="BE7" s="32"/>
      <c r="BF7" s="53"/>
      <c r="BG7" s="21" t="str">
        <f>IFERROR(VLOOKUP(March[[#This Row],[Drug Name9]],'Data Options'!$R$1:$S$100,2,FALSE), " ")</f>
        <v xml:space="preserve"> </v>
      </c>
      <c r="BH7" s="32"/>
      <c r="BI7" s="32"/>
    </row>
    <row r="8" spans="1:61" ht="62">
      <c r="A8" s="51">
        <v>43893</v>
      </c>
      <c r="B8" s="52" t="s">
        <v>317</v>
      </c>
      <c r="C8" s="32">
        <v>20025</v>
      </c>
      <c r="D8" s="32" t="s">
        <v>12</v>
      </c>
      <c r="E8" s="32" t="s">
        <v>17</v>
      </c>
      <c r="F8" s="32" t="s">
        <v>221</v>
      </c>
      <c r="G8" s="32" t="s">
        <v>20</v>
      </c>
      <c r="H8" s="32"/>
      <c r="I8" s="32" t="s">
        <v>22</v>
      </c>
      <c r="J8" s="32">
        <v>3</v>
      </c>
      <c r="K8" s="32" t="s">
        <v>86</v>
      </c>
      <c r="L8" s="32"/>
      <c r="M8" s="32">
        <v>1</v>
      </c>
      <c r="N8" s="31" t="s">
        <v>22</v>
      </c>
      <c r="O8" s="31" t="s">
        <v>22</v>
      </c>
      <c r="P8" s="53" t="s">
        <v>313</v>
      </c>
      <c r="Q8" s="21" t="str">
        <f>IFERROR(VLOOKUP(March[[#This Row],[Drug Name]],'Data Options'!$R$1:$S$100,2,FALSE), " ")</f>
        <v>Otic</v>
      </c>
      <c r="R8" s="32" t="s">
        <v>88</v>
      </c>
      <c r="S8" s="32" t="s">
        <v>98</v>
      </c>
      <c r="T8" s="53" t="s">
        <v>38</v>
      </c>
      <c r="U8" s="21" t="str">
        <f>IFERROR(VLOOKUP(March[[#This Row],[Drug Name2]],'Data Options'!$R$1:$S$100,2,FALSE), " ")</f>
        <v>Lincosamides</v>
      </c>
      <c r="V8" s="32" t="s">
        <v>92</v>
      </c>
      <c r="W8" s="32" t="s">
        <v>89</v>
      </c>
      <c r="X8" s="53"/>
      <c r="Y8" s="21" t="str">
        <f>IFERROR(VLOOKUP(March[[#This Row],[Drug Name3]],'Data Options'!$R$1:$S$100,2,FALSE), " ")</f>
        <v xml:space="preserve"> </v>
      </c>
      <c r="Z8" s="32"/>
      <c r="AA8" s="32"/>
      <c r="AB8" s="32" t="s">
        <v>224</v>
      </c>
      <c r="AC8" s="32"/>
      <c r="AD8" s="32">
        <v>1</v>
      </c>
      <c r="AE8" s="31" t="s">
        <v>23</v>
      </c>
      <c r="AF8" s="31" t="s">
        <v>23</v>
      </c>
      <c r="AG8" s="53" t="s">
        <v>251</v>
      </c>
      <c r="AH8" s="21" t="str">
        <f>IFERROR(VLOOKUP(March[[#This Row],[Drug Name4]],'Data Options'!$R$1:$S$100,2,FALSE), " ")</f>
        <v>Ophthalmic</v>
      </c>
      <c r="AI8" s="32" t="s">
        <v>95</v>
      </c>
      <c r="AJ8" s="32" t="s">
        <v>98</v>
      </c>
      <c r="AK8" s="53"/>
      <c r="AL8" s="21" t="str">
        <f>IFERROR(VLOOKUP(March[[#This Row],[Drug Name5]],'Data Options'!$R$1:$S$100,2,FALSE), " ")</f>
        <v xml:space="preserve"> </v>
      </c>
      <c r="AM8" s="32"/>
      <c r="AN8" s="32"/>
      <c r="AO8" s="53"/>
      <c r="AP8" s="21" t="str">
        <f>IFERROR(VLOOKUP(March[[#This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21" t="str">
        <f>IFERROR(VLOOKUP(March[[#This Row],[Drug Name7]],'Data Options'!$R$1:$S$100,2,FALSE), " ")</f>
        <v xml:space="preserve"> </v>
      </c>
      <c r="AZ8" s="32"/>
      <c r="BA8" s="32"/>
      <c r="BB8" s="53"/>
      <c r="BC8" s="21" t="str">
        <f>IFERROR(VLOOKUP(March[[#This Row],[Drug Name8]],'Data Options'!$R$1:$S$100,2,FALSE), " ")</f>
        <v xml:space="preserve"> </v>
      </c>
      <c r="BD8" s="32"/>
      <c r="BE8" s="32"/>
      <c r="BF8" s="53"/>
      <c r="BG8" s="21" t="str">
        <f>IFERROR(VLOOKUP(March[[#This Row],[Drug Name9]],'Data Options'!$R$1:$S$100,2,FALSE), " ")</f>
        <v xml:space="preserve"> </v>
      </c>
      <c r="BH8" s="32"/>
      <c r="BI8" s="32"/>
    </row>
    <row r="9" spans="1:61">
      <c r="A9" s="51">
        <v>43893</v>
      </c>
      <c r="B9" s="52" t="s">
        <v>317</v>
      </c>
      <c r="C9" s="32">
        <v>20026</v>
      </c>
      <c r="D9" s="32" t="s">
        <v>12</v>
      </c>
      <c r="E9" s="32" t="s">
        <v>14</v>
      </c>
      <c r="F9" s="32" t="s">
        <v>117</v>
      </c>
      <c r="G9" s="32" t="s">
        <v>21</v>
      </c>
      <c r="H9" s="32" t="s">
        <v>318</v>
      </c>
      <c r="I9" s="32" t="s">
        <v>23</v>
      </c>
      <c r="J9" s="32">
        <v>0</v>
      </c>
      <c r="K9" s="32" t="s">
        <v>100</v>
      </c>
      <c r="L9" s="32"/>
      <c r="M9" s="32"/>
      <c r="N9" s="31"/>
      <c r="O9" s="31"/>
      <c r="P9" s="53"/>
      <c r="Q9" s="21" t="str">
        <f>IFERROR(VLOOKUP(March[[#This Row],[Drug Name]],'Data Options'!$R$1:$S$100,2,FALSE), " ")</f>
        <v xml:space="preserve"> </v>
      </c>
      <c r="R9" s="32"/>
      <c r="S9" s="32"/>
      <c r="T9" s="53"/>
      <c r="U9" s="21" t="str">
        <f>IFERROR(VLOOKUP(March[[#This Row],[Drug Name2]],'Data Options'!$R$1:$S$100,2,FALSE), " ")</f>
        <v xml:space="preserve"> </v>
      </c>
      <c r="V9" s="32"/>
      <c r="W9" s="32"/>
      <c r="X9" s="53"/>
      <c r="Y9" s="21" t="str">
        <f>IFERROR(VLOOKUP(March[[#This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21" t="str">
        <f>IFERROR(VLOOKUP(March[[#This Row],[Drug Name4]],'Data Options'!$R$1:$S$100,2,FALSE), " ")</f>
        <v xml:space="preserve"> </v>
      </c>
      <c r="AI9" s="32"/>
      <c r="AJ9" s="32"/>
      <c r="AK9" s="53"/>
      <c r="AL9" s="21" t="str">
        <f>IFERROR(VLOOKUP(March[[#This Row],[Drug Name5]],'Data Options'!$R$1:$S$100,2,FALSE), " ")</f>
        <v xml:space="preserve"> </v>
      </c>
      <c r="AM9" s="32"/>
      <c r="AN9" s="32"/>
      <c r="AO9" s="53"/>
      <c r="AP9" s="21" t="str">
        <f>IFERROR(VLOOKUP(March[[#This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21" t="str">
        <f>IFERROR(VLOOKUP(March[[#This Row],[Drug Name7]],'Data Options'!$R$1:$S$100,2,FALSE), " ")</f>
        <v xml:space="preserve"> </v>
      </c>
      <c r="AZ9" s="32"/>
      <c r="BA9" s="32"/>
      <c r="BB9" s="53"/>
      <c r="BC9" s="21" t="str">
        <f>IFERROR(VLOOKUP(March[[#This Row],[Drug Name8]],'Data Options'!$R$1:$S$100,2,FALSE), " ")</f>
        <v xml:space="preserve"> </v>
      </c>
      <c r="BD9" s="32"/>
      <c r="BE9" s="32"/>
      <c r="BF9" s="53"/>
      <c r="BG9" s="21" t="str">
        <f>IFERROR(VLOOKUP(March[[#This Row],[Drug Name9]],'Data Options'!$R$1:$S$100,2,FALSE), " ")</f>
        <v xml:space="preserve"> </v>
      </c>
      <c r="BH9" s="32"/>
      <c r="BI9" s="32"/>
    </row>
    <row r="10" spans="1:61">
      <c r="A10" s="51">
        <v>43894</v>
      </c>
      <c r="B10" s="52" t="s">
        <v>317</v>
      </c>
      <c r="C10" s="32">
        <v>20027</v>
      </c>
      <c r="D10" s="32" t="s">
        <v>13</v>
      </c>
      <c r="E10" s="32" t="s">
        <v>15</v>
      </c>
      <c r="F10" s="32" t="s">
        <v>123</v>
      </c>
      <c r="G10" s="32" t="s">
        <v>149</v>
      </c>
      <c r="H10" s="32"/>
      <c r="I10" s="32" t="s">
        <v>22</v>
      </c>
      <c r="J10" s="32">
        <v>1</v>
      </c>
      <c r="K10" s="32" t="s">
        <v>99</v>
      </c>
      <c r="L10" s="32"/>
      <c r="M10" s="32">
        <v>1</v>
      </c>
      <c r="N10" s="31"/>
      <c r="O10" s="31"/>
      <c r="P10" s="53" t="s">
        <v>30</v>
      </c>
      <c r="Q10" s="21" t="str">
        <f>IFERROR(VLOOKUP(March[[#This Row],[Drug Name]],'Data Options'!$R$1:$S$100,2,FALSE), " ")</f>
        <v>Cephalosporins</v>
      </c>
      <c r="R10" s="32" t="s">
        <v>122</v>
      </c>
      <c r="S10" s="32" t="s">
        <v>96</v>
      </c>
      <c r="T10" s="53"/>
      <c r="U10" s="21" t="str">
        <f>IFERROR(VLOOKUP(March[[#This Row],[Drug Name2]],'Data Options'!$R$1:$S$100,2,FALSE), " ")</f>
        <v xml:space="preserve"> </v>
      </c>
      <c r="V10" s="32"/>
      <c r="W10" s="32"/>
      <c r="X10" s="53"/>
      <c r="Y10" s="21" t="str">
        <f>IFERROR(VLOOKUP(March[[#This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21" t="str">
        <f>IFERROR(VLOOKUP(March[[#This Row],[Drug Name4]],'Data Options'!$R$1:$S$100,2,FALSE), " ")</f>
        <v xml:space="preserve"> </v>
      </c>
      <c r="AI10" s="32"/>
      <c r="AJ10" s="32"/>
      <c r="AK10" s="53"/>
      <c r="AL10" s="21" t="str">
        <f>IFERROR(VLOOKUP(March[[#This Row],[Drug Name5]],'Data Options'!$R$1:$S$100,2,FALSE), " ")</f>
        <v xml:space="preserve"> </v>
      </c>
      <c r="AM10" s="32"/>
      <c r="AN10" s="32"/>
      <c r="AO10" s="53"/>
      <c r="AP10" s="21" t="str">
        <f>IFERROR(VLOOKUP(March[[#This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21" t="str">
        <f>IFERROR(VLOOKUP(March[[#This Row],[Drug Name7]],'Data Options'!$R$1:$S$100,2,FALSE), " ")</f>
        <v xml:space="preserve"> </v>
      </c>
      <c r="AZ10" s="32"/>
      <c r="BA10" s="32"/>
      <c r="BB10" s="53"/>
      <c r="BC10" s="21" t="str">
        <f>IFERROR(VLOOKUP(March[[#This Row],[Drug Name8]],'Data Options'!$R$1:$S$100,2,FALSE), " ")</f>
        <v xml:space="preserve"> </v>
      </c>
      <c r="BD10" s="32"/>
      <c r="BE10" s="32"/>
      <c r="BF10" s="53"/>
      <c r="BG10" s="21" t="str">
        <f>IFERROR(VLOOKUP(March[[#This Row],[Drug Name9]],'Data Options'!$R$1:$S$100,2,FALSE), " ")</f>
        <v xml:space="preserve"> </v>
      </c>
      <c r="BH10" s="32"/>
      <c r="BI10" s="32"/>
    </row>
    <row r="11" spans="1:61" ht="46.5">
      <c r="A11" s="51">
        <v>43895</v>
      </c>
      <c r="B11" s="52" t="s">
        <v>317</v>
      </c>
      <c r="C11" s="32">
        <v>20028</v>
      </c>
      <c r="D11" s="32" t="s">
        <v>12</v>
      </c>
      <c r="E11" s="32" t="s">
        <v>17</v>
      </c>
      <c r="F11" s="32" t="s">
        <v>219</v>
      </c>
      <c r="G11" s="32" t="s">
        <v>20</v>
      </c>
      <c r="H11" s="32"/>
      <c r="I11" s="32" t="s">
        <v>22</v>
      </c>
      <c r="J11" s="32">
        <v>1</v>
      </c>
      <c r="K11" s="32" t="s">
        <v>276</v>
      </c>
      <c r="L11" s="32"/>
      <c r="M11" s="32">
        <v>1</v>
      </c>
      <c r="N11" s="31" t="s">
        <v>22</v>
      </c>
      <c r="O11" s="31" t="s">
        <v>23</v>
      </c>
      <c r="P11" s="53" t="s">
        <v>141</v>
      </c>
      <c r="Q11" s="21" t="str">
        <f>IFERROR(VLOOKUP(March[[#This Row],[Drug Name]],'Data Options'!$R$1:$S$100,2,FALSE), " ")</f>
        <v>Sulfonamides/Folate pathway inhibitors</v>
      </c>
      <c r="R11" s="32" t="s">
        <v>92</v>
      </c>
      <c r="S11" s="32" t="s">
        <v>89</v>
      </c>
      <c r="T11" s="53"/>
      <c r="U11" s="21" t="str">
        <f>IFERROR(VLOOKUP(March[[#This Row],[Drug Name2]],'Data Options'!$R$1:$S$100,2,FALSE), " ")</f>
        <v xml:space="preserve"> </v>
      </c>
      <c r="V11" s="32"/>
      <c r="W11" s="32"/>
      <c r="X11" s="53"/>
      <c r="Y11" s="21" t="str">
        <f>IFERROR(VLOOKUP(March[[#This Row],[Drug Name3]],'Data Options'!$R$1:$S$100,2,FALSE), " ")</f>
        <v xml:space="preserve"> </v>
      </c>
      <c r="Z11" s="32"/>
      <c r="AA11" s="32"/>
      <c r="AB11" s="32"/>
      <c r="AC11" s="32"/>
      <c r="AD11" s="32"/>
      <c r="AE11" s="31"/>
      <c r="AF11" s="31"/>
      <c r="AG11" s="53"/>
      <c r="AH11" s="21" t="str">
        <f>IFERROR(VLOOKUP(March[[#This Row],[Drug Name4]],'Data Options'!$R$1:$S$100,2,FALSE), " ")</f>
        <v xml:space="preserve"> </v>
      </c>
      <c r="AI11" s="32"/>
      <c r="AJ11" s="32"/>
      <c r="AK11" s="53"/>
      <c r="AL11" s="21" t="str">
        <f>IFERROR(VLOOKUP(March[[#This Row],[Drug Name5]],'Data Options'!$R$1:$S$100,2,FALSE), " ")</f>
        <v xml:space="preserve"> </v>
      </c>
      <c r="AM11" s="32"/>
      <c r="AN11" s="32"/>
      <c r="AO11" s="53"/>
      <c r="AP11" s="21" t="str">
        <f>IFERROR(VLOOKUP(March[[#This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21" t="str">
        <f>IFERROR(VLOOKUP(March[[#This Row],[Drug Name7]],'Data Options'!$R$1:$S$100,2,FALSE), " ")</f>
        <v xml:space="preserve"> </v>
      </c>
      <c r="AZ11" s="32"/>
      <c r="BA11" s="32"/>
      <c r="BB11" s="53"/>
      <c r="BC11" s="21" t="str">
        <f>IFERROR(VLOOKUP(March[[#This Row],[Drug Name8]],'Data Options'!$R$1:$S$100,2,FALSE), " ")</f>
        <v xml:space="preserve"> </v>
      </c>
      <c r="BD11" s="32"/>
      <c r="BE11" s="32"/>
      <c r="BF11" s="53"/>
      <c r="BG11" s="21" t="str">
        <f>IFERROR(VLOOKUP(March[[#This Row],[Drug Name9]],'Data Options'!$R$1:$S$100,2,FALSE), " ")</f>
        <v xml:space="preserve"> </v>
      </c>
      <c r="BH11" s="32"/>
      <c r="BI11" s="32"/>
    </row>
    <row r="12" spans="1:61">
      <c r="A12" s="51">
        <v>43896</v>
      </c>
      <c r="B12" s="52" t="s">
        <v>317</v>
      </c>
      <c r="C12" s="32">
        <v>20029</v>
      </c>
      <c r="D12" s="32" t="s">
        <v>13</v>
      </c>
      <c r="E12" s="32" t="s">
        <v>17</v>
      </c>
      <c r="F12" s="32" t="s">
        <v>221</v>
      </c>
      <c r="G12" s="32" t="s">
        <v>20</v>
      </c>
      <c r="H12" s="32"/>
      <c r="I12" s="32" t="s">
        <v>22</v>
      </c>
      <c r="J12" s="32">
        <v>1</v>
      </c>
      <c r="K12" s="32" t="s">
        <v>277</v>
      </c>
      <c r="L12" s="32"/>
      <c r="M12" s="32">
        <v>1</v>
      </c>
      <c r="N12" s="31" t="s">
        <v>22</v>
      </c>
      <c r="O12" s="31" t="s">
        <v>22</v>
      </c>
      <c r="P12" s="53" t="s">
        <v>26</v>
      </c>
      <c r="Q12" s="21" t="str">
        <f>IFERROR(VLOOKUP(March[[#This Row],[Drug Name]],'Data Options'!$R$1:$S$100,2,FALSE), " ")</f>
        <v>Penicillins</v>
      </c>
      <c r="R12" s="32" t="s">
        <v>92</v>
      </c>
      <c r="S12" s="32" t="s">
        <v>89</v>
      </c>
      <c r="T12" s="53"/>
      <c r="U12" s="21" t="str">
        <f>IFERROR(VLOOKUP(March[[#This Row],[Drug Name2]],'Data Options'!$R$1:$S$100,2,FALSE), " ")</f>
        <v xml:space="preserve"> </v>
      </c>
      <c r="V12" s="32"/>
      <c r="W12" s="32"/>
      <c r="X12" s="53"/>
      <c r="Y12" s="21" t="str">
        <f>IFERROR(VLOOKUP(March[[#This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21" t="str">
        <f>IFERROR(VLOOKUP(March[[#This Row],[Drug Name4]],'Data Options'!$R$1:$S$100,2,FALSE), " ")</f>
        <v xml:space="preserve"> </v>
      </c>
      <c r="AI12" s="32"/>
      <c r="AJ12" s="32"/>
      <c r="AK12" s="53"/>
      <c r="AL12" s="21" t="str">
        <f>IFERROR(VLOOKUP(March[[#This Row],[Drug Name5]],'Data Options'!$R$1:$S$100,2,FALSE), " ")</f>
        <v xml:space="preserve"> </v>
      </c>
      <c r="AM12" s="32"/>
      <c r="AN12" s="32"/>
      <c r="AO12" s="53"/>
      <c r="AP12" s="21" t="str">
        <f>IFERROR(VLOOKUP(March[[#This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21" t="str">
        <f>IFERROR(VLOOKUP(March[[#This Row],[Drug Name7]],'Data Options'!$R$1:$S$100,2,FALSE), " ")</f>
        <v xml:space="preserve"> </v>
      </c>
      <c r="AZ12" s="32"/>
      <c r="BA12" s="32"/>
      <c r="BB12" s="53"/>
      <c r="BC12" s="21" t="str">
        <f>IFERROR(VLOOKUP(March[[#This Row],[Drug Name8]],'Data Options'!$R$1:$S$100,2,FALSE), " ")</f>
        <v xml:space="preserve"> </v>
      </c>
      <c r="BD12" s="32"/>
      <c r="BE12" s="32"/>
      <c r="BF12" s="53"/>
      <c r="BG12" s="21" t="str">
        <f>IFERROR(VLOOKUP(March[[#This Row],[Drug Name9]],'Data Options'!$R$1:$S$100,2,FALSE), " ")</f>
        <v xml:space="preserve"> </v>
      </c>
      <c r="BH12" s="32"/>
      <c r="BI12" s="32"/>
    </row>
    <row r="13" spans="1:61">
      <c r="A13" s="51">
        <v>43897</v>
      </c>
      <c r="B13" s="52" t="s">
        <v>317</v>
      </c>
      <c r="C13" s="32">
        <v>20030</v>
      </c>
      <c r="D13" s="32" t="s">
        <v>12</v>
      </c>
      <c r="E13" s="32" t="s">
        <v>15</v>
      </c>
      <c r="F13" s="32" t="s">
        <v>123</v>
      </c>
      <c r="G13" s="32" t="s">
        <v>292</v>
      </c>
      <c r="H13" s="32"/>
      <c r="I13" s="32" t="s">
        <v>23</v>
      </c>
      <c r="J13" s="32">
        <v>0</v>
      </c>
      <c r="K13" s="32" t="s">
        <v>100</v>
      </c>
      <c r="L13" s="32"/>
      <c r="M13" s="32"/>
      <c r="N13" s="31"/>
      <c r="O13" s="31"/>
      <c r="P13" s="53"/>
      <c r="Q13" s="21" t="str">
        <f>IFERROR(VLOOKUP(March[[#This Row],[Drug Name]],'Data Options'!$R$1:$S$100,2,FALSE), " ")</f>
        <v xml:space="preserve"> </v>
      </c>
      <c r="R13" s="32"/>
      <c r="S13" s="32"/>
      <c r="T13" s="53"/>
      <c r="U13" s="21" t="str">
        <f>IFERROR(VLOOKUP(March[[#This Row],[Drug Name2]],'Data Options'!$R$1:$S$100,2,FALSE), " ")</f>
        <v xml:space="preserve"> </v>
      </c>
      <c r="V13" s="32"/>
      <c r="W13" s="32"/>
      <c r="X13" s="53"/>
      <c r="Y13" s="21" t="str">
        <f>IFERROR(VLOOKUP(March[[#This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21" t="str">
        <f>IFERROR(VLOOKUP(March[[#This Row],[Drug Name4]],'Data Options'!$R$1:$S$100,2,FALSE), " ")</f>
        <v xml:space="preserve"> </v>
      </c>
      <c r="AI13" s="32"/>
      <c r="AJ13" s="32"/>
      <c r="AK13" s="53"/>
      <c r="AL13" s="21" t="str">
        <f>IFERROR(VLOOKUP(March[[#This Row],[Drug Name5]],'Data Options'!$R$1:$S$100,2,FALSE), " ")</f>
        <v xml:space="preserve"> </v>
      </c>
      <c r="AM13" s="32"/>
      <c r="AN13" s="32"/>
      <c r="AO13" s="53"/>
      <c r="AP13" s="21" t="str">
        <f>IFERROR(VLOOKUP(March[[#This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21" t="str">
        <f>IFERROR(VLOOKUP(March[[#This Row],[Drug Name7]],'Data Options'!$R$1:$S$100,2,FALSE), " ")</f>
        <v xml:space="preserve"> </v>
      </c>
      <c r="AZ13" s="32"/>
      <c r="BA13" s="32"/>
      <c r="BB13" s="53"/>
      <c r="BC13" s="21" t="str">
        <f>IFERROR(VLOOKUP(March[[#This Row],[Drug Name8]],'Data Options'!$R$1:$S$100,2,FALSE), " ")</f>
        <v xml:space="preserve"> </v>
      </c>
      <c r="BD13" s="32"/>
      <c r="BE13" s="32"/>
      <c r="BF13" s="53"/>
      <c r="BG13" s="21" t="str">
        <f>IFERROR(VLOOKUP(March[[#This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21" t="str">
        <f>IFERROR(VLOOKUP(March[[#This Row],[Drug Name]],'Data Options'!$R$1:$S$100,2,FALSE), " ")</f>
        <v xml:space="preserve"> </v>
      </c>
      <c r="R14" s="32"/>
      <c r="S14" s="32"/>
      <c r="T14" s="53"/>
      <c r="U14" s="21" t="str">
        <f>IFERROR(VLOOKUP(March[[#This Row],[Drug Name2]],'Data Options'!$R$1:$S$100,2,FALSE), " ")</f>
        <v xml:space="preserve"> </v>
      </c>
      <c r="V14" s="32"/>
      <c r="W14" s="32"/>
      <c r="X14" s="53"/>
      <c r="Y14" s="21" t="str">
        <f>IFERROR(VLOOKUP(March[[#This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21" t="str">
        <f>IFERROR(VLOOKUP(March[[#This Row],[Drug Name4]],'Data Options'!$R$1:$S$100,2,FALSE), " ")</f>
        <v xml:space="preserve"> </v>
      </c>
      <c r="AI14" s="32"/>
      <c r="AJ14" s="32"/>
      <c r="AK14" s="53"/>
      <c r="AL14" s="21" t="str">
        <f>IFERROR(VLOOKUP(March[[#This Row],[Drug Name5]],'Data Options'!$R$1:$S$100,2,FALSE), " ")</f>
        <v xml:space="preserve"> </v>
      </c>
      <c r="AM14" s="32"/>
      <c r="AN14" s="32"/>
      <c r="AO14" s="53"/>
      <c r="AP14" s="21" t="str">
        <f>IFERROR(VLOOKUP(March[[#This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21" t="str">
        <f>IFERROR(VLOOKUP(March[[#This Row],[Drug Name7]],'Data Options'!$R$1:$S$100,2,FALSE), " ")</f>
        <v xml:space="preserve"> </v>
      </c>
      <c r="AZ14" s="32"/>
      <c r="BA14" s="32"/>
      <c r="BB14" s="53"/>
      <c r="BC14" s="21" t="str">
        <f>IFERROR(VLOOKUP(March[[#This Row],[Drug Name8]],'Data Options'!$R$1:$S$100,2,FALSE), " ")</f>
        <v xml:space="preserve"> </v>
      </c>
      <c r="BD14" s="32"/>
      <c r="BE14" s="32"/>
      <c r="BF14" s="53"/>
      <c r="BG14" s="21" t="str">
        <f>IFERROR(VLOOKUP(March[[#This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21" t="str">
        <f>IFERROR(VLOOKUP(March[[#This Row],[Drug Name]],'Data Options'!$R$1:$S$100,2,FALSE), " ")</f>
        <v xml:space="preserve"> </v>
      </c>
      <c r="R15" s="32"/>
      <c r="S15" s="32"/>
      <c r="T15" s="53"/>
      <c r="U15" s="21" t="str">
        <f>IFERROR(VLOOKUP(March[[#This Row],[Drug Name2]],'Data Options'!$R$1:$S$100,2,FALSE), " ")</f>
        <v xml:space="preserve"> </v>
      </c>
      <c r="V15" s="32"/>
      <c r="W15" s="32"/>
      <c r="X15" s="53"/>
      <c r="Y15" s="21" t="str">
        <f>IFERROR(VLOOKUP(March[[#This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21" t="str">
        <f>IFERROR(VLOOKUP(March[[#This Row],[Drug Name4]],'Data Options'!$R$1:$S$100,2,FALSE), " ")</f>
        <v xml:space="preserve"> </v>
      </c>
      <c r="AI15" s="32"/>
      <c r="AJ15" s="32"/>
      <c r="AK15" s="53"/>
      <c r="AL15" s="21" t="str">
        <f>IFERROR(VLOOKUP(March[[#This Row],[Drug Name5]],'Data Options'!$R$1:$S$100,2,FALSE), " ")</f>
        <v xml:space="preserve"> </v>
      </c>
      <c r="AM15" s="32"/>
      <c r="AN15" s="32"/>
      <c r="AO15" s="53"/>
      <c r="AP15" s="21" t="str">
        <f>IFERROR(VLOOKUP(March[[#This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21" t="str">
        <f>IFERROR(VLOOKUP(March[[#This Row],[Drug Name7]],'Data Options'!$R$1:$S$100,2,FALSE), " ")</f>
        <v xml:space="preserve"> </v>
      </c>
      <c r="AZ15" s="32"/>
      <c r="BA15" s="32"/>
      <c r="BB15" s="53"/>
      <c r="BC15" s="21" t="str">
        <f>IFERROR(VLOOKUP(March[[#This Row],[Drug Name8]],'Data Options'!$R$1:$S$100,2,FALSE), " ")</f>
        <v xml:space="preserve"> </v>
      </c>
      <c r="BD15" s="32"/>
      <c r="BE15" s="32"/>
      <c r="BF15" s="53"/>
      <c r="BG15" s="21" t="str">
        <f>IFERROR(VLOOKUP(March[[#This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21" t="str">
        <f>IFERROR(VLOOKUP(March[[#This Row],[Drug Name]],'Data Options'!$R$1:$S$100,2,FALSE), " ")</f>
        <v xml:space="preserve"> </v>
      </c>
      <c r="R16" s="32"/>
      <c r="S16" s="32"/>
      <c r="T16" s="53"/>
      <c r="U16" s="21" t="str">
        <f>IFERROR(VLOOKUP(March[[#This Row],[Drug Name2]],'Data Options'!$R$1:$S$100,2,FALSE), " ")</f>
        <v xml:space="preserve"> </v>
      </c>
      <c r="V16" s="32"/>
      <c r="W16" s="32"/>
      <c r="X16" s="53"/>
      <c r="Y16" s="21" t="str">
        <f>IFERROR(VLOOKUP(March[[#This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21" t="str">
        <f>IFERROR(VLOOKUP(March[[#This Row],[Drug Name4]],'Data Options'!$R$1:$S$100,2,FALSE), " ")</f>
        <v xml:space="preserve"> </v>
      </c>
      <c r="AI16" s="32"/>
      <c r="AJ16" s="32"/>
      <c r="AK16" s="53"/>
      <c r="AL16" s="21" t="str">
        <f>IFERROR(VLOOKUP(March[[#This Row],[Drug Name5]],'Data Options'!$R$1:$S$100,2,FALSE), " ")</f>
        <v xml:space="preserve"> </v>
      </c>
      <c r="AM16" s="32"/>
      <c r="AN16" s="32"/>
      <c r="AO16" s="53"/>
      <c r="AP16" s="21" t="str">
        <f>IFERROR(VLOOKUP(March[[#This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21" t="str">
        <f>IFERROR(VLOOKUP(March[[#This Row],[Drug Name7]],'Data Options'!$R$1:$S$100,2,FALSE), " ")</f>
        <v xml:space="preserve"> </v>
      </c>
      <c r="AZ16" s="32"/>
      <c r="BA16" s="32"/>
      <c r="BB16" s="53"/>
      <c r="BC16" s="21" t="str">
        <f>IFERROR(VLOOKUP(March[[#This Row],[Drug Name8]],'Data Options'!$R$1:$S$100,2,FALSE), " ")</f>
        <v xml:space="preserve"> </v>
      </c>
      <c r="BD16" s="32"/>
      <c r="BE16" s="32"/>
      <c r="BF16" s="53"/>
      <c r="BG16" s="21" t="str">
        <f>IFERROR(VLOOKUP(March[[#This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21" t="str">
        <f>IFERROR(VLOOKUP(March[[#This Row],[Drug Name]],'Data Options'!$R$1:$S$100,2,FALSE), " ")</f>
        <v xml:space="preserve"> </v>
      </c>
      <c r="R17" s="32"/>
      <c r="S17" s="32"/>
      <c r="T17" s="53"/>
      <c r="U17" s="21" t="str">
        <f>IFERROR(VLOOKUP(March[[#This Row],[Drug Name2]],'Data Options'!$R$1:$S$100,2,FALSE), " ")</f>
        <v xml:space="preserve"> </v>
      </c>
      <c r="V17" s="32"/>
      <c r="W17" s="32"/>
      <c r="X17" s="53"/>
      <c r="Y17" s="21" t="str">
        <f>IFERROR(VLOOKUP(March[[#This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21" t="str">
        <f>IFERROR(VLOOKUP(March[[#This Row],[Drug Name4]],'Data Options'!$R$1:$S$100,2,FALSE), " ")</f>
        <v xml:space="preserve"> </v>
      </c>
      <c r="AI17" s="32"/>
      <c r="AJ17" s="32"/>
      <c r="AK17" s="53"/>
      <c r="AL17" s="21" t="str">
        <f>IFERROR(VLOOKUP(March[[#This Row],[Drug Name5]],'Data Options'!$R$1:$S$100,2,FALSE), " ")</f>
        <v xml:space="preserve"> </v>
      </c>
      <c r="AM17" s="32"/>
      <c r="AN17" s="32"/>
      <c r="AO17" s="53"/>
      <c r="AP17" s="21" t="str">
        <f>IFERROR(VLOOKUP(March[[#This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21" t="str">
        <f>IFERROR(VLOOKUP(March[[#This Row],[Drug Name7]],'Data Options'!$R$1:$S$100,2,FALSE), " ")</f>
        <v xml:space="preserve"> </v>
      </c>
      <c r="AZ17" s="32"/>
      <c r="BA17" s="32"/>
      <c r="BB17" s="53"/>
      <c r="BC17" s="21" t="str">
        <f>IFERROR(VLOOKUP(March[[#This Row],[Drug Name8]],'Data Options'!$R$1:$S$100,2,FALSE), " ")</f>
        <v xml:space="preserve"> </v>
      </c>
      <c r="BD17" s="32"/>
      <c r="BE17" s="32"/>
      <c r="BF17" s="53"/>
      <c r="BG17" s="21" t="str">
        <f>IFERROR(VLOOKUP(March[[#This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21" t="str">
        <f>IFERROR(VLOOKUP(March[[#This Row],[Drug Name]],'Data Options'!$R$1:$S$100,2,FALSE), " ")</f>
        <v xml:space="preserve"> </v>
      </c>
      <c r="R18" s="32"/>
      <c r="S18" s="32"/>
      <c r="T18" s="53"/>
      <c r="U18" s="21" t="str">
        <f>IFERROR(VLOOKUP(March[[#This Row],[Drug Name2]],'Data Options'!$R$1:$S$100,2,FALSE), " ")</f>
        <v xml:space="preserve"> </v>
      </c>
      <c r="V18" s="32"/>
      <c r="W18" s="32"/>
      <c r="X18" s="53"/>
      <c r="Y18" s="21" t="str">
        <f>IFERROR(VLOOKUP(March[[#This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21" t="str">
        <f>IFERROR(VLOOKUP(March[[#This Row],[Drug Name4]],'Data Options'!$R$1:$S$100,2,FALSE), " ")</f>
        <v xml:space="preserve"> </v>
      </c>
      <c r="AI18" s="32"/>
      <c r="AJ18" s="32"/>
      <c r="AK18" s="53"/>
      <c r="AL18" s="21" t="str">
        <f>IFERROR(VLOOKUP(March[[#This Row],[Drug Name5]],'Data Options'!$R$1:$S$100,2,FALSE), " ")</f>
        <v xml:space="preserve"> </v>
      </c>
      <c r="AM18" s="32"/>
      <c r="AN18" s="32"/>
      <c r="AO18" s="53"/>
      <c r="AP18" s="21" t="str">
        <f>IFERROR(VLOOKUP(March[[#This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21" t="str">
        <f>IFERROR(VLOOKUP(March[[#This Row],[Drug Name7]],'Data Options'!$R$1:$S$100,2,FALSE), " ")</f>
        <v xml:space="preserve"> </v>
      </c>
      <c r="AZ18" s="32"/>
      <c r="BA18" s="32"/>
      <c r="BB18" s="53"/>
      <c r="BC18" s="21" t="str">
        <f>IFERROR(VLOOKUP(March[[#This Row],[Drug Name8]],'Data Options'!$R$1:$S$100,2,FALSE), " ")</f>
        <v xml:space="preserve"> </v>
      </c>
      <c r="BD18" s="32"/>
      <c r="BE18" s="32"/>
      <c r="BF18" s="53"/>
      <c r="BG18" s="21" t="str">
        <f>IFERROR(VLOOKUP(March[[#This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21" t="str">
        <f>IFERROR(VLOOKUP(March[[#This Row],[Drug Name]],'Data Options'!$R$1:$S$100,2,FALSE), " ")</f>
        <v xml:space="preserve"> </v>
      </c>
      <c r="R19" s="32"/>
      <c r="S19" s="32"/>
      <c r="T19" s="53"/>
      <c r="U19" s="21" t="str">
        <f>IFERROR(VLOOKUP(March[[#This Row],[Drug Name2]],'Data Options'!$R$1:$S$100,2,FALSE), " ")</f>
        <v xml:space="preserve"> </v>
      </c>
      <c r="V19" s="32"/>
      <c r="W19" s="32"/>
      <c r="X19" s="53"/>
      <c r="Y19" s="21" t="str">
        <f>IFERROR(VLOOKUP(March[[#This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21" t="str">
        <f>IFERROR(VLOOKUP(March[[#This Row],[Drug Name4]],'Data Options'!$R$1:$S$100,2,FALSE), " ")</f>
        <v xml:space="preserve"> </v>
      </c>
      <c r="AI19" s="32"/>
      <c r="AJ19" s="32"/>
      <c r="AK19" s="53"/>
      <c r="AL19" s="21" t="str">
        <f>IFERROR(VLOOKUP(March[[#This Row],[Drug Name5]],'Data Options'!$R$1:$S$100,2,FALSE), " ")</f>
        <v xml:space="preserve"> </v>
      </c>
      <c r="AM19" s="32"/>
      <c r="AN19" s="32"/>
      <c r="AO19" s="53"/>
      <c r="AP19" s="21" t="str">
        <f>IFERROR(VLOOKUP(March[[#This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21" t="str">
        <f>IFERROR(VLOOKUP(March[[#This Row],[Drug Name7]],'Data Options'!$R$1:$S$100,2,FALSE), " ")</f>
        <v xml:space="preserve"> </v>
      </c>
      <c r="AZ19" s="32"/>
      <c r="BA19" s="32"/>
      <c r="BB19" s="53"/>
      <c r="BC19" s="21" t="str">
        <f>IFERROR(VLOOKUP(March[[#This Row],[Drug Name8]],'Data Options'!$R$1:$S$100,2,FALSE), " ")</f>
        <v xml:space="preserve"> </v>
      </c>
      <c r="BD19" s="32"/>
      <c r="BE19" s="32"/>
      <c r="BF19" s="53"/>
      <c r="BG19" s="21" t="str">
        <f>IFERROR(VLOOKUP(March[[#This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21" t="str">
        <f>IFERROR(VLOOKUP(March[[#This Row],[Drug Name]],'Data Options'!$R$1:$S$100,2,FALSE), " ")</f>
        <v xml:space="preserve"> </v>
      </c>
      <c r="R20" s="32"/>
      <c r="S20" s="32"/>
      <c r="T20" s="53"/>
      <c r="U20" s="21" t="str">
        <f>IFERROR(VLOOKUP(March[[#This Row],[Drug Name2]],'Data Options'!$R$1:$S$100,2,FALSE), " ")</f>
        <v xml:space="preserve"> </v>
      </c>
      <c r="V20" s="32"/>
      <c r="W20" s="32"/>
      <c r="X20" s="53"/>
      <c r="Y20" s="21" t="str">
        <f>IFERROR(VLOOKUP(March[[#This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21" t="str">
        <f>IFERROR(VLOOKUP(March[[#This Row],[Drug Name4]],'Data Options'!$R$1:$S$100,2,FALSE), " ")</f>
        <v xml:space="preserve"> </v>
      </c>
      <c r="AI20" s="32"/>
      <c r="AJ20" s="32"/>
      <c r="AK20" s="53"/>
      <c r="AL20" s="21" t="str">
        <f>IFERROR(VLOOKUP(March[[#This Row],[Drug Name5]],'Data Options'!$R$1:$S$100,2,FALSE), " ")</f>
        <v xml:space="preserve"> </v>
      </c>
      <c r="AM20" s="32"/>
      <c r="AN20" s="32"/>
      <c r="AO20" s="53"/>
      <c r="AP20" s="21" t="str">
        <f>IFERROR(VLOOKUP(March[[#This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21" t="str">
        <f>IFERROR(VLOOKUP(March[[#This Row],[Drug Name7]],'Data Options'!$R$1:$S$100,2,FALSE), " ")</f>
        <v xml:space="preserve"> </v>
      </c>
      <c r="AZ20" s="32"/>
      <c r="BA20" s="32"/>
      <c r="BB20" s="53"/>
      <c r="BC20" s="21" t="str">
        <f>IFERROR(VLOOKUP(March[[#This Row],[Drug Name8]],'Data Options'!$R$1:$S$100,2,FALSE), " ")</f>
        <v xml:space="preserve"> </v>
      </c>
      <c r="BD20" s="32"/>
      <c r="BE20" s="32"/>
      <c r="BF20" s="53"/>
      <c r="BG20" s="21" t="str">
        <f>IFERROR(VLOOKUP(March[[#This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21" t="str">
        <f>IFERROR(VLOOKUP(March[[#This Row],[Drug Name]],'Data Options'!$R$1:$S$100,2,FALSE), " ")</f>
        <v xml:space="preserve"> </v>
      </c>
      <c r="R21" s="32"/>
      <c r="S21" s="32"/>
      <c r="T21" s="53"/>
      <c r="U21" s="21" t="str">
        <f>IFERROR(VLOOKUP(March[[#This Row],[Drug Name2]],'Data Options'!$R$1:$S$100,2,FALSE), " ")</f>
        <v xml:space="preserve"> </v>
      </c>
      <c r="V21" s="32"/>
      <c r="W21" s="32"/>
      <c r="X21" s="53"/>
      <c r="Y21" s="21" t="str">
        <f>IFERROR(VLOOKUP(March[[#This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21" t="str">
        <f>IFERROR(VLOOKUP(March[[#This Row],[Drug Name4]],'Data Options'!$R$1:$S$100,2,FALSE), " ")</f>
        <v xml:space="preserve"> </v>
      </c>
      <c r="AI21" s="32"/>
      <c r="AJ21" s="32"/>
      <c r="AK21" s="53"/>
      <c r="AL21" s="21" t="str">
        <f>IFERROR(VLOOKUP(March[[#This Row],[Drug Name5]],'Data Options'!$R$1:$S$100,2,FALSE), " ")</f>
        <v xml:space="preserve"> </v>
      </c>
      <c r="AM21" s="32"/>
      <c r="AN21" s="32"/>
      <c r="AO21" s="53"/>
      <c r="AP21" s="21" t="str">
        <f>IFERROR(VLOOKUP(March[[#This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21" t="str">
        <f>IFERROR(VLOOKUP(March[[#This Row],[Drug Name7]],'Data Options'!$R$1:$S$100,2,FALSE), " ")</f>
        <v xml:space="preserve"> </v>
      </c>
      <c r="AZ21" s="32"/>
      <c r="BA21" s="32"/>
      <c r="BB21" s="53"/>
      <c r="BC21" s="21" t="str">
        <f>IFERROR(VLOOKUP(March[[#This Row],[Drug Name8]],'Data Options'!$R$1:$S$100,2,FALSE), " ")</f>
        <v xml:space="preserve"> </v>
      </c>
      <c r="BD21" s="32"/>
      <c r="BE21" s="32"/>
      <c r="BF21" s="53"/>
      <c r="BG21" s="21" t="str">
        <f>IFERROR(VLOOKUP(March[[#This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21" t="str">
        <f>IFERROR(VLOOKUP(March[[#This Row],[Drug Name]],'Data Options'!$R$1:$S$100,2,FALSE), " ")</f>
        <v xml:space="preserve"> </v>
      </c>
      <c r="R22" s="32"/>
      <c r="S22" s="32"/>
      <c r="T22" s="53"/>
      <c r="U22" s="21" t="str">
        <f>IFERROR(VLOOKUP(March[[#This Row],[Drug Name2]],'Data Options'!$R$1:$S$100,2,FALSE), " ")</f>
        <v xml:space="preserve"> </v>
      </c>
      <c r="V22" s="32"/>
      <c r="W22" s="32"/>
      <c r="X22" s="53"/>
      <c r="Y22" s="21" t="str">
        <f>IFERROR(VLOOKUP(March[[#This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21" t="str">
        <f>IFERROR(VLOOKUP(March[[#This Row],[Drug Name4]],'Data Options'!$R$1:$S$100,2,FALSE), " ")</f>
        <v xml:space="preserve"> </v>
      </c>
      <c r="AI22" s="32"/>
      <c r="AJ22" s="32"/>
      <c r="AK22" s="53"/>
      <c r="AL22" s="21" t="str">
        <f>IFERROR(VLOOKUP(March[[#This Row],[Drug Name5]],'Data Options'!$R$1:$S$100,2,FALSE), " ")</f>
        <v xml:space="preserve"> </v>
      </c>
      <c r="AM22" s="32"/>
      <c r="AN22" s="32"/>
      <c r="AO22" s="53"/>
      <c r="AP22" s="21" t="str">
        <f>IFERROR(VLOOKUP(March[[#This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21" t="str">
        <f>IFERROR(VLOOKUP(March[[#This Row],[Drug Name7]],'Data Options'!$R$1:$S$100,2,FALSE), " ")</f>
        <v xml:space="preserve"> </v>
      </c>
      <c r="AZ22" s="32"/>
      <c r="BA22" s="32"/>
      <c r="BB22" s="53"/>
      <c r="BC22" s="21" t="str">
        <f>IFERROR(VLOOKUP(March[[#This Row],[Drug Name8]],'Data Options'!$R$1:$S$100,2,FALSE), " ")</f>
        <v xml:space="preserve"> </v>
      </c>
      <c r="BD22" s="32"/>
      <c r="BE22" s="32"/>
      <c r="BF22" s="53"/>
      <c r="BG22" s="21" t="str">
        <f>IFERROR(VLOOKUP(March[[#This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21" t="str">
        <f>IFERROR(VLOOKUP(March[[#This Row],[Drug Name]],'Data Options'!$R$1:$S$100,2,FALSE), " ")</f>
        <v xml:space="preserve"> </v>
      </c>
      <c r="R23" s="32"/>
      <c r="S23" s="32"/>
      <c r="T23" s="53"/>
      <c r="U23" s="21" t="str">
        <f>IFERROR(VLOOKUP(March[[#This Row],[Drug Name2]],'Data Options'!$R$1:$S$100,2,FALSE), " ")</f>
        <v xml:space="preserve"> </v>
      </c>
      <c r="V23" s="32"/>
      <c r="W23" s="32"/>
      <c r="X23" s="53"/>
      <c r="Y23" s="21" t="str">
        <f>IFERROR(VLOOKUP(March[[#This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21" t="str">
        <f>IFERROR(VLOOKUP(March[[#This Row],[Drug Name4]],'Data Options'!$R$1:$S$100,2,FALSE), " ")</f>
        <v xml:space="preserve"> </v>
      </c>
      <c r="AI23" s="32"/>
      <c r="AJ23" s="32"/>
      <c r="AK23" s="53"/>
      <c r="AL23" s="21" t="str">
        <f>IFERROR(VLOOKUP(March[[#This Row],[Drug Name5]],'Data Options'!$R$1:$S$100,2,FALSE), " ")</f>
        <v xml:space="preserve"> </v>
      </c>
      <c r="AM23" s="32"/>
      <c r="AN23" s="32"/>
      <c r="AO23" s="53"/>
      <c r="AP23" s="21" t="str">
        <f>IFERROR(VLOOKUP(March[[#This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21" t="str">
        <f>IFERROR(VLOOKUP(March[[#This Row],[Drug Name7]],'Data Options'!$R$1:$S$100,2,FALSE), " ")</f>
        <v xml:space="preserve"> </v>
      </c>
      <c r="AZ23" s="32"/>
      <c r="BA23" s="32"/>
      <c r="BB23" s="53"/>
      <c r="BC23" s="21" t="str">
        <f>IFERROR(VLOOKUP(March[[#This Row],[Drug Name8]],'Data Options'!$R$1:$S$100,2,FALSE), " ")</f>
        <v xml:space="preserve"> </v>
      </c>
      <c r="BD23" s="32"/>
      <c r="BE23" s="32"/>
      <c r="BF23" s="53"/>
      <c r="BG23" s="21" t="str">
        <f>IFERROR(VLOOKUP(March[[#This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21" t="str">
        <f>IFERROR(VLOOKUP(March[[#This Row],[Drug Name]],'Data Options'!$R$1:$S$100,2,FALSE), " ")</f>
        <v xml:space="preserve"> </v>
      </c>
      <c r="R24" s="32"/>
      <c r="S24" s="32"/>
      <c r="T24" s="53"/>
      <c r="U24" s="21" t="str">
        <f>IFERROR(VLOOKUP(March[[#This Row],[Drug Name2]],'Data Options'!$R$1:$S$100,2,FALSE), " ")</f>
        <v xml:space="preserve"> </v>
      </c>
      <c r="V24" s="32"/>
      <c r="W24" s="32"/>
      <c r="X24" s="53"/>
      <c r="Y24" s="21" t="str">
        <f>IFERROR(VLOOKUP(March[[#This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21" t="str">
        <f>IFERROR(VLOOKUP(March[[#This Row],[Drug Name4]],'Data Options'!$R$1:$S$100,2,FALSE), " ")</f>
        <v xml:space="preserve"> </v>
      </c>
      <c r="AI24" s="32"/>
      <c r="AJ24" s="32"/>
      <c r="AK24" s="53"/>
      <c r="AL24" s="21" t="str">
        <f>IFERROR(VLOOKUP(March[[#This Row],[Drug Name5]],'Data Options'!$R$1:$S$100,2,FALSE), " ")</f>
        <v xml:space="preserve"> </v>
      </c>
      <c r="AM24" s="32"/>
      <c r="AN24" s="32"/>
      <c r="AO24" s="53"/>
      <c r="AP24" s="21" t="str">
        <f>IFERROR(VLOOKUP(March[[#This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21" t="str">
        <f>IFERROR(VLOOKUP(March[[#This Row],[Drug Name7]],'Data Options'!$R$1:$S$100,2,FALSE), " ")</f>
        <v xml:space="preserve"> </v>
      </c>
      <c r="AZ24" s="32"/>
      <c r="BA24" s="32"/>
      <c r="BB24" s="53"/>
      <c r="BC24" s="21" t="str">
        <f>IFERROR(VLOOKUP(March[[#This Row],[Drug Name8]],'Data Options'!$R$1:$S$100,2,FALSE), " ")</f>
        <v xml:space="preserve"> </v>
      </c>
      <c r="BD24" s="32"/>
      <c r="BE24" s="32"/>
      <c r="BF24" s="53"/>
      <c r="BG24" s="21" t="str">
        <f>IFERROR(VLOOKUP(March[[#This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21" t="str">
        <f>IFERROR(VLOOKUP(March[[#This Row],[Drug Name]],'Data Options'!$R$1:$S$100,2,FALSE), " ")</f>
        <v xml:space="preserve"> </v>
      </c>
      <c r="R25" s="32"/>
      <c r="S25" s="32"/>
      <c r="T25" s="53"/>
      <c r="U25" s="21" t="str">
        <f>IFERROR(VLOOKUP(March[[#This Row],[Drug Name2]],'Data Options'!$R$1:$S$100,2,FALSE), " ")</f>
        <v xml:space="preserve"> </v>
      </c>
      <c r="V25" s="32"/>
      <c r="W25" s="32"/>
      <c r="X25" s="53"/>
      <c r="Y25" s="21" t="str">
        <f>IFERROR(VLOOKUP(March[[#This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21" t="str">
        <f>IFERROR(VLOOKUP(March[[#This Row],[Drug Name4]],'Data Options'!$R$1:$S$100,2,FALSE), " ")</f>
        <v xml:space="preserve"> </v>
      </c>
      <c r="AI25" s="32"/>
      <c r="AJ25" s="32"/>
      <c r="AK25" s="53"/>
      <c r="AL25" s="21" t="str">
        <f>IFERROR(VLOOKUP(March[[#This Row],[Drug Name5]],'Data Options'!$R$1:$S$100,2,FALSE), " ")</f>
        <v xml:space="preserve"> </v>
      </c>
      <c r="AM25" s="32"/>
      <c r="AN25" s="32"/>
      <c r="AO25" s="53"/>
      <c r="AP25" s="21" t="str">
        <f>IFERROR(VLOOKUP(March[[#This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21" t="str">
        <f>IFERROR(VLOOKUP(March[[#This Row],[Drug Name7]],'Data Options'!$R$1:$S$100,2,FALSE), " ")</f>
        <v xml:space="preserve"> </v>
      </c>
      <c r="AZ25" s="32"/>
      <c r="BA25" s="32"/>
      <c r="BB25" s="53"/>
      <c r="BC25" s="21" t="str">
        <f>IFERROR(VLOOKUP(March[[#This Row],[Drug Name8]],'Data Options'!$R$1:$S$100,2,FALSE), " ")</f>
        <v xml:space="preserve"> </v>
      </c>
      <c r="BD25" s="32"/>
      <c r="BE25" s="32"/>
      <c r="BF25" s="53"/>
      <c r="BG25" s="21" t="str">
        <f>IFERROR(VLOOKUP(March[[#This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21" t="str">
        <f>IFERROR(VLOOKUP(March[[#This Row],[Drug Name]],'Data Options'!$R$1:$S$100,2,FALSE), " ")</f>
        <v xml:space="preserve"> </v>
      </c>
      <c r="R26" s="32"/>
      <c r="S26" s="32"/>
      <c r="T26" s="53"/>
      <c r="U26" s="21" t="str">
        <f>IFERROR(VLOOKUP(March[[#This Row],[Drug Name2]],'Data Options'!$R$1:$S$100,2,FALSE), " ")</f>
        <v xml:space="preserve"> </v>
      </c>
      <c r="V26" s="32"/>
      <c r="W26" s="32"/>
      <c r="X26" s="53"/>
      <c r="Y26" s="21" t="str">
        <f>IFERROR(VLOOKUP(March[[#This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21" t="str">
        <f>IFERROR(VLOOKUP(March[[#This Row],[Drug Name4]],'Data Options'!$R$1:$S$100,2,FALSE), " ")</f>
        <v xml:space="preserve"> </v>
      </c>
      <c r="AI26" s="32"/>
      <c r="AJ26" s="32"/>
      <c r="AK26" s="53"/>
      <c r="AL26" s="21" t="str">
        <f>IFERROR(VLOOKUP(March[[#This Row],[Drug Name5]],'Data Options'!$R$1:$S$100,2,FALSE), " ")</f>
        <v xml:space="preserve"> </v>
      </c>
      <c r="AM26" s="32"/>
      <c r="AN26" s="32"/>
      <c r="AO26" s="53"/>
      <c r="AP26" s="21" t="str">
        <f>IFERROR(VLOOKUP(March[[#This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21" t="str">
        <f>IFERROR(VLOOKUP(March[[#This Row],[Drug Name7]],'Data Options'!$R$1:$S$100,2,FALSE), " ")</f>
        <v xml:space="preserve"> </v>
      </c>
      <c r="AZ26" s="32"/>
      <c r="BA26" s="32"/>
      <c r="BB26" s="53"/>
      <c r="BC26" s="21" t="str">
        <f>IFERROR(VLOOKUP(March[[#This Row],[Drug Name8]],'Data Options'!$R$1:$S$100,2,FALSE), " ")</f>
        <v xml:space="preserve"> </v>
      </c>
      <c r="BD26" s="32"/>
      <c r="BE26" s="32"/>
      <c r="BF26" s="53"/>
      <c r="BG26" s="21" t="str">
        <f>IFERROR(VLOOKUP(March[[#This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21" t="str">
        <f>IFERROR(VLOOKUP(March[[#This Row],[Drug Name]],'Data Options'!$R$1:$S$100,2,FALSE), " ")</f>
        <v xml:space="preserve"> </v>
      </c>
      <c r="R27" s="32"/>
      <c r="S27" s="32"/>
      <c r="T27" s="53"/>
      <c r="U27" s="21" t="str">
        <f>IFERROR(VLOOKUP(March[[#This Row],[Drug Name2]],'Data Options'!$R$1:$S$100,2,FALSE), " ")</f>
        <v xml:space="preserve"> </v>
      </c>
      <c r="V27" s="32"/>
      <c r="W27" s="32"/>
      <c r="X27" s="53"/>
      <c r="Y27" s="21" t="str">
        <f>IFERROR(VLOOKUP(March[[#This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21" t="str">
        <f>IFERROR(VLOOKUP(March[[#This Row],[Drug Name4]],'Data Options'!$R$1:$S$100,2,FALSE), " ")</f>
        <v xml:space="preserve"> </v>
      </c>
      <c r="AI27" s="32"/>
      <c r="AJ27" s="32"/>
      <c r="AK27" s="53"/>
      <c r="AL27" s="21" t="str">
        <f>IFERROR(VLOOKUP(March[[#This Row],[Drug Name5]],'Data Options'!$R$1:$S$100,2,FALSE), " ")</f>
        <v xml:space="preserve"> </v>
      </c>
      <c r="AM27" s="32"/>
      <c r="AN27" s="32"/>
      <c r="AO27" s="53"/>
      <c r="AP27" s="21" t="str">
        <f>IFERROR(VLOOKUP(March[[#This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21" t="str">
        <f>IFERROR(VLOOKUP(March[[#This Row],[Drug Name7]],'Data Options'!$R$1:$S$100,2,FALSE), " ")</f>
        <v xml:space="preserve"> </v>
      </c>
      <c r="AZ27" s="32"/>
      <c r="BA27" s="32"/>
      <c r="BB27" s="53"/>
      <c r="BC27" s="21" t="str">
        <f>IFERROR(VLOOKUP(March[[#This Row],[Drug Name8]],'Data Options'!$R$1:$S$100,2,FALSE), " ")</f>
        <v xml:space="preserve"> </v>
      </c>
      <c r="BD27" s="32"/>
      <c r="BE27" s="32"/>
      <c r="BF27" s="53"/>
      <c r="BG27" s="21" t="str">
        <f>IFERROR(VLOOKUP(March[[#This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21" t="str">
        <f>IFERROR(VLOOKUP(March[[#This Row],[Drug Name]],'Data Options'!$R$1:$S$100,2,FALSE), " ")</f>
        <v xml:space="preserve"> </v>
      </c>
      <c r="R28" s="32"/>
      <c r="S28" s="32"/>
      <c r="T28" s="53"/>
      <c r="U28" s="21" t="str">
        <f>IFERROR(VLOOKUP(March[[#This Row],[Drug Name2]],'Data Options'!$R$1:$S$100,2,FALSE), " ")</f>
        <v xml:space="preserve"> </v>
      </c>
      <c r="V28" s="32"/>
      <c r="W28" s="32"/>
      <c r="X28" s="53"/>
      <c r="Y28" s="21" t="str">
        <f>IFERROR(VLOOKUP(March[[#This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21" t="str">
        <f>IFERROR(VLOOKUP(March[[#This Row],[Drug Name4]],'Data Options'!$R$1:$S$100,2,FALSE), " ")</f>
        <v xml:space="preserve"> </v>
      </c>
      <c r="AI28" s="32"/>
      <c r="AJ28" s="32"/>
      <c r="AK28" s="53"/>
      <c r="AL28" s="21" t="str">
        <f>IFERROR(VLOOKUP(March[[#This Row],[Drug Name5]],'Data Options'!$R$1:$S$100,2,FALSE), " ")</f>
        <v xml:space="preserve"> </v>
      </c>
      <c r="AM28" s="32"/>
      <c r="AN28" s="32"/>
      <c r="AO28" s="53"/>
      <c r="AP28" s="21" t="str">
        <f>IFERROR(VLOOKUP(March[[#This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21" t="str">
        <f>IFERROR(VLOOKUP(March[[#This Row],[Drug Name7]],'Data Options'!$R$1:$S$100,2,FALSE), " ")</f>
        <v xml:space="preserve"> </v>
      </c>
      <c r="AZ28" s="32"/>
      <c r="BA28" s="32"/>
      <c r="BB28" s="53"/>
      <c r="BC28" s="21" t="str">
        <f>IFERROR(VLOOKUP(March[[#This Row],[Drug Name8]],'Data Options'!$R$1:$S$100,2,FALSE), " ")</f>
        <v xml:space="preserve"> </v>
      </c>
      <c r="BD28" s="32"/>
      <c r="BE28" s="32"/>
      <c r="BF28" s="53"/>
      <c r="BG28" s="21" t="str">
        <f>IFERROR(VLOOKUP(March[[#This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21" t="str">
        <f>IFERROR(VLOOKUP(March[[#This Row],[Drug Name]],'Data Options'!$R$1:$S$100,2,FALSE), " ")</f>
        <v xml:space="preserve"> </v>
      </c>
      <c r="R29" s="32"/>
      <c r="S29" s="32"/>
      <c r="T29" s="53"/>
      <c r="U29" s="21" t="str">
        <f>IFERROR(VLOOKUP(March[[#This Row],[Drug Name2]],'Data Options'!$R$1:$S$100,2,FALSE), " ")</f>
        <v xml:space="preserve"> </v>
      </c>
      <c r="V29" s="32"/>
      <c r="W29" s="32"/>
      <c r="X29" s="53"/>
      <c r="Y29" s="21" t="str">
        <f>IFERROR(VLOOKUP(March[[#This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21" t="str">
        <f>IFERROR(VLOOKUP(March[[#This Row],[Drug Name4]],'Data Options'!$R$1:$S$100,2,FALSE), " ")</f>
        <v xml:space="preserve"> </v>
      </c>
      <c r="AI29" s="32"/>
      <c r="AJ29" s="32"/>
      <c r="AK29" s="53"/>
      <c r="AL29" s="21" t="str">
        <f>IFERROR(VLOOKUP(March[[#This Row],[Drug Name5]],'Data Options'!$R$1:$S$100,2,FALSE), " ")</f>
        <v xml:space="preserve"> </v>
      </c>
      <c r="AM29" s="32"/>
      <c r="AN29" s="32"/>
      <c r="AO29" s="53"/>
      <c r="AP29" s="21" t="str">
        <f>IFERROR(VLOOKUP(March[[#This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21" t="str">
        <f>IFERROR(VLOOKUP(March[[#This Row],[Drug Name7]],'Data Options'!$R$1:$S$100,2,FALSE), " ")</f>
        <v xml:space="preserve"> </v>
      </c>
      <c r="AZ29" s="32"/>
      <c r="BA29" s="32"/>
      <c r="BB29" s="53"/>
      <c r="BC29" s="21" t="str">
        <f>IFERROR(VLOOKUP(March[[#This Row],[Drug Name8]],'Data Options'!$R$1:$S$100,2,FALSE), " ")</f>
        <v xml:space="preserve"> </v>
      </c>
      <c r="BD29" s="32"/>
      <c r="BE29" s="32"/>
      <c r="BF29" s="53"/>
      <c r="BG29" s="21" t="str">
        <f>IFERROR(VLOOKUP(March[[#This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21" t="str">
        <f>IFERROR(VLOOKUP(March[[#This Row],[Drug Name]],'Data Options'!$R$1:$S$100,2,FALSE), " ")</f>
        <v xml:space="preserve"> </v>
      </c>
      <c r="R30" s="32"/>
      <c r="S30" s="32"/>
      <c r="T30" s="53"/>
      <c r="U30" s="21" t="str">
        <f>IFERROR(VLOOKUP(March[[#This Row],[Drug Name2]],'Data Options'!$R$1:$S$100,2,FALSE), " ")</f>
        <v xml:space="preserve"> </v>
      </c>
      <c r="V30" s="32"/>
      <c r="W30" s="32"/>
      <c r="X30" s="53"/>
      <c r="Y30" s="21" t="str">
        <f>IFERROR(VLOOKUP(March[[#This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21" t="str">
        <f>IFERROR(VLOOKUP(March[[#This Row],[Drug Name4]],'Data Options'!$R$1:$S$100,2,FALSE), " ")</f>
        <v xml:space="preserve"> </v>
      </c>
      <c r="AI30" s="32"/>
      <c r="AJ30" s="32"/>
      <c r="AK30" s="53"/>
      <c r="AL30" s="21" t="str">
        <f>IFERROR(VLOOKUP(March[[#This Row],[Drug Name5]],'Data Options'!$R$1:$S$100,2,FALSE), " ")</f>
        <v xml:space="preserve"> </v>
      </c>
      <c r="AM30" s="32"/>
      <c r="AN30" s="32"/>
      <c r="AO30" s="53"/>
      <c r="AP30" s="21" t="str">
        <f>IFERROR(VLOOKUP(March[[#This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21" t="str">
        <f>IFERROR(VLOOKUP(March[[#This Row],[Drug Name7]],'Data Options'!$R$1:$S$100,2,FALSE), " ")</f>
        <v xml:space="preserve"> </v>
      </c>
      <c r="AZ30" s="32"/>
      <c r="BA30" s="32"/>
      <c r="BB30" s="53"/>
      <c r="BC30" s="21" t="str">
        <f>IFERROR(VLOOKUP(March[[#This Row],[Drug Name8]],'Data Options'!$R$1:$S$100,2,FALSE), " ")</f>
        <v xml:space="preserve"> </v>
      </c>
      <c r="BD30" s="32"/>
      <c r="BE30" s="32"/>
      <c r="BF30" s="53"/>
      <c r="BG30" s="21" t="str">
        <f>IFERROR(VLOOKUP(March[[#This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21" t="str">
        <f>IFERROR(VLOOKUP(March[[#This Row],[Drug Name]],'Data Options'!$R$1:$S$100,2,FALSE), " ")</f>
        <v xml:space="preserve"> </v>
      </c>
      <c r="R31" s="32"/>
      <c r="S31" s="32"/>
      <c r="T31" s="53"/>
      <c r="U31" s="21" t="str">
        <f>IFERROR(VLOOKUP(March[[#This Row],[Drug Name2]],'Data Options'!$R$1:$S$100,2,FALSE), " ")</f>
        <v xml:space="preserve"> </v>
      </c>
      <c r="V31" s="32"/>
      <c r="W31" s="32"/>
      <c r="X31" s="53"/>
      <c r="Y31" s="21" t="str">
        <f>IFERROR(VLOOKUP(March[[#This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21" t="str">
        <f>IFERROR(VLOOKUP(March[[#This Row],[Drug Name4]],'Data Options'!$R$1:$S$100,2,FALSE), " ")</f>
        <v xml:space="preserve"> </v>
      </c>
      <c r="AI31" s="32"/>
      <c r="AJ31" s="32"/>
      <c r="AK31" s="53"/>
      <c r="AL31" s="21" t="str">
        <f>IFERROR(VLOOKUP(March[[#This Row],[Drug Name5]],'Data Options'!$R$1:$S$100,2,FALSE), " ")</f>
        <v xml:space="preserve"> </v>
      </c>
      <c r="AM31" s="32"/>
      <c r="AN31" s="32"/>
      <c r="AO31" s="53"/>
      <c r="AP31" s="21" t="str">
        <f>IFERROR(VLOOKUP(March[[#This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21" t="str">
        <f>IFERROR(VLOOKUP(March[[#This Row],[Drug Name7]],'Data Options'!$R$1:$S$100,2,FALSE), " ")</f>
        <v xml:space="preserve"> </v>
      </c>
      <c r="AZ31" s="32"/>
      <c r="BA31" s="32"/>
      <c r="BB31" s="53"/>
      <c r="BC31" s="21" t="str">
        <f>IFERROR(VLOOKUP(March[[#This Row],[Drug Name8]],'Data Options'!$R$1:$S$100,2,FALSE), " ")</f>
        <v xml:space="preserve"> </v>
      </c>
      <c r="BD31" s="32"/>
      <c r="BE31" s="32"/>
      <c r="BF31" s="53"/>
      <c r="BG31" s="21" t="str">
        <f>IFERROR(VLOOKUP(March[[#This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21" t="str">
        <f>IFERROR(VLOOKUP(March[[#This Row],[Drug Name]],'Data Options'!$R$1:$S$100,2,FALSE), " ")</f>
        <v xml:space="preserve"> </v>
      </c>
      <c r="R32" s="32"/>
      <c r="S32" s="32"/>
      <c r="T32" s="53"/>
      <c r="U32" s="21" t="str">
        <f>IFERROR(VLOOKUP(March[[#This Row],[Drug Name2]],'Data Options'!$R$1:$S$100,2,FALSE), " ")</f>
        <v xml:space="preserve"> </v>
      </c>
      <c r="V32" s="32"/>
      <c r="W32" s="32"/>
      <c r="X32" s="53"/>
      <c r="Y32" s="21" t="str">
        <f>IFERROR(VLOOKUP(March[[#This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21" t="str">
        <f>IFERROR(VLOOKUP(March[[#This Row],[Drug Name4]],'Data Options'!$R$1:$S$100,2,FALSE), " ")</f>
        <v xml:space="preserve"> </v>
      </c>
      <c r="AI32" s="32"/>
      <c r="AJ32" s="32"/>
      <c r="AK32" s="53"/>
      <c r="AL32" s="21" t="str">
        <f>IFERROR(VLOOKUP(March[[#This Row],[Drug Name5]],'Data Options'!$R$1:$S$100,2,FALSE), " ")</f>
        <v xml:space="preserve"> </v>
      </c>
      <c r="AM32" s="32"/>
      <c r="AN32" s="32"/>
      <c r="AO32" s="53"/>
      <c r="AP32" s="21" t="str">
        <f>IFERROR(VLOOKUP(March[[#This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21" t="str">
        <f>IFERROR(VLOOKUP(March[[#This Row],[Drug Name7]],'Data Options'!$R$1:$S$100,2,FALSE), " ")</f>
        <v xml:space="preserve"> </v>
      </c>
      <c r="AZ32" s="32"/>
      <c r="BA32" s="32"/>
      <c r="BB32" s="53"/>
      <c r="BC32" s="21" t="str">
        <f>IFERROR(VLOOKUP(March[[#This Row],[Drug Name8]],'Data Options'!$R$1:$S$100,2,FALSE), " ")</f>
        <v xml:space="preserve"> </v>
      </c>
      <c r="BD32" s="32"/>
      <c r="BE32" s="32"/>
      <c r="BF32" s="53"/>
      <c r="BG32" s="21" t="str">
        <f>IFERROR(VLOOKUP(March[[#This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21" t="str">
        <f>IFERROR(VLOOKUP(March[[#This Row],[Drug Name]],'Data Options'!$R$1:$S$100,2,FALSE), " ")</f>
        <v xml:space="preserve"> </v>
      </c>
      <c r="R33" s="32"/>
      <c r="S33" s="32"/>
      <c r="T33" s="53"/>
      <c r="U33" s="21" t="str">
        <f>IFERROR(VLOOKUP(March[[#This Row],[Drug Name2]],'Data Options'!$R$1:$S$100,2,FALSE), " ")</f>
        <v xml:space="preserve"> </v>
      </c>
      <c r="V33" s="32"/>
      <c r="W33" s="32"/>
      <c r="X33" s="53"/>
      <c r="Y33" s="21" t="str">
        <f>IFERROR(VLOOKUP(March[[#This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21" t="str">
        <f>IFERROR(VLOOKUP(March[[#This Row],[Drug Name4]],'Data Options'!$R$1:$S$100,2,FALSE), " ")</f>
        <v xml:space="preserve"> </v>
      </c>
      <c r="AI33" s="32"/>
      <c r="AJ33" s="32"/>
      <c r="AK33" s="53"/>
      <c r="AL33" s="21" t="str">
        <f>IFERROR(VLOOKUP(March[[#This Row],[Drug Name5]],'Data Options'!$R$1:$S$100,2,FALSE), " ")</f>
        <v xml:space="preserve"> </v>
      </c>
      <c r="AM33" s="32"/>
      <c r="AN33" s="32"/>
      <c r="AO33" s="53"/>
      <c r="AP33" s="21" t="str">
        <f>IFERROR(VLOOKUP(March[[#This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21" t="str">
        <f>IFERROR(VLOOKUP(March[[#This Row],[Drug Name7]],'Data Options'!$R$1:$S$100,2,FALSE), " ")</f>
        <v xml:space="preserve"> </v>
      </c>
      <c r="AZ33" s="32"/>
      <c r="BA33" s="32"/>
      <c r="BB33" s="53"/>
      <c r="BC33" s="21" t="str">
        <f>IFERROR(VLOOKUP(March[[#This Row],[Drug Name8]],'Data Options'!$R$1:$S$100,2,FALSE), " ")</f>
        <v xml:space="preserve"> </v>
      </c>
      <c r="BD33" s="32"/>
      <c r="BE33" s="32"/>
      <c r="BF33" s="53"/>
      <c r="BG33" s="21" t="str">
        <f>IFERROR(VLOOKUP(March[[#This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21" t="str">
        <f>IFERROR(VLOOKUP(March[[#This Row],[Drug Name]],'Data Options'!$R$1:$S$100,2,FALSE), " ")</f>
        <v xml:space="preserve"> </v>
      </c>
      <c r="R34" s="32"/>
      <c r="S34" s="32"/>
      <c r="T34" s="53"/>
      <c r="U34" s="21" t="str">
        <f>IFERROR(VLOOKUP(March[[#This Row],[Drug Name2]],'Data Options'!$R$1:$S$100,2,FALSE), " ")</f>
        <v xml:space="preserve"> </v>
      </c>
      <c r="V34" s="32"/>
      <c r="W34" s="32"/>
      <c r="X34" s="53"/>
      <c r="Y34" s="21" t="str">
        <f>IFERROR(VLOOKUP(March[[#This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21" t="str">
        <f>IFERROR(VLOOKUP(March[[#This Row],[Drug Name4]],'Data Options'!$R$1:$S$100,2,FALSE), " ")</f>
        <v xml:space="preserve"> </v>
      </c>
      <c r="AI34" s="32"/>
      <c r="AJ34" s="32"/>
      <c r="AK34" s="53"/>
      <c r="AL34" s="21" t="str">
        <f>IFERROR(VLOOKUP(March[[#This Row],[Drug Name5]],'Data Options'!$R$1:$S$100,2,FALSE), " ")</f>
        <v xml:space="preserve"> </v>
      </c>
      <c r="AM34" s="32"/>
      <c r="AN34" s="32"/>
      <c r="AO34" s="53"/>
      <c r="AP34" s="21" t="str">
        <f>IFERROR(VLOOKUP(March[[#This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21" t="str">
        <f>IFERROR(VLOOKUP(March[[#This Row],[Drug Name7]],'Data Options'!$R$1:$S$100,2,FALSE), " ")</f>
        <v xml:space="preserve"> </v>
      </c>
      <c r="AZ34" s="32"/>
      <c r="BA34" s="32"/>
      <c r="BB34" s="53"/>
      <c r="BC34" s="21" t="str">
        <f>IFERROR(VLOOKUP(March[[#This Row],[Drug Name8]],'Data Options'!$R$1:$S$100,2,FALSE), " ")</f>
        <v xml:space="preserve"> </v>
      </c>
      <c r="BD34" s="32"/>
      <c r="BE34" s="32"/>
      <c r="BF34" s="53"/>
      <c r="BG34" s="21" t="str">
        <f>IFERROR(VLOOKUP(March[[#This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21" t="str">
        <f>IFERROR(VLOOKUP(March[[#This Row],[Drug Name]],'Data Options'!$R$1:$S$100,2,FALSE), " ")</f>
        <v xml:space="preserve"> </v>
      </c>
      <c r="R35" s="32"/>
      <c r="S35" s="32"/>
      <c r="T35" s="53"/>
      <c r="U35" s="21" t="str">
        <f>IFERROR(VLOOKUP(March[[#This Row],[Drug Name2]],'Data Options'!$R$1:$S$100,2,FALSE), " ")</f>
        <v xml:space="preserve"> </v>
      </c>
      <c r="V35" s="32"/>
      <c r="W35" s="32"/>
      <c r="X35" s="53"/>
      <c r="Y35" s="21" t="str">
        <f>IFERROR(VLOOKUP(March[[#This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21" t="str">
        <f>IFERROR(VLOOKUP(March[[#This Row],[Drug Name4]],'Data Options'!$R$1:$S$100,2,FALSE), " ")</f>
        <v xml:space="preserve"> </v>
      </c>
      <c r="AI35" s="32"/>
      <c r="AJ35" s="32"/>
      <c r="AK35" s="53"/>
      <c r="AL35" s="21" t="str">
        <f>IFERROR(VLOOKUP(March[[#This Row],[Drug Name5]],'Data Options'!$R$1:$S$100,2,FALSE), " ")</f>
        <v xml:space="preserve"> </v>
      </c>
      <c r="AM35" s="32"/>
      <c r="AN35" s="32"/>
      <c r="AO35" s="53"/>
      <c r="AP35" s="21" t="str">
        <f>IFERROR(VLOOKUP(March[[#This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21" t="str">
        <f>IFERROR(VLOOKUP(March[[#This Row],[Drug Name7]],'Data Options'!$R$1:$S$100,2,FALSE), " ")</f>
        <v xml:space="preserve"> </v>
      </c>
      <c r="AZ35" s="32"/>
      <c r="BA35" s="32"/>
      <c r="BB35" s="53"/>
      <c r="BC35" s="21" t="str">
        <f>IFERROR(VLOOKUP(March[[#This Row],[Drug Name8]],'Data Options'!$R$1:$S$100,2,FALSE), " ")</f>
        <v xml:space="preserve"> </v>
      </c>
      <c r="BD35" s="32"/>
      <c r="BE35" s="32"/>
      <c r="BF35" s="53"/>
      <c r="BG35" s="21" t="str">
        <f>IFERROR(VLOOKUP(March[[#This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21" t="str">
        <f>IFERROR(VLOOKUP(March[[#This Row],[Drug Name]],'Data Options'!$R$1:$S$100,2,FALSE), " ")</f>
        <v xml:space="preserve"> </v>
      </c>
      <c r="R36" s="32"/>
      <c r="S36" s="32"/>
      <c r="T36" s="53"/>
      <c r="U36" s="21" t="str">
        <f>IFERROR(VLOOKUP(March[[#This Row],[Drug Name2]],'Data Options'!$R$1:$S$100,2,FALSE), " ")</f>
        <v xml:space="preserve"> </v>
      </c>
      <c r="V36" s="32"/>
      <c r="W36" s="32"/>
      <c r="X36" s="53"/>
      <c r="Y36" s="21" t="str">
        <f>IFERROR(VLOOKUP(March[[#This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21" t="str">
        <f>IFERROR(VLOOKUP(March[[#This Row],[Drug Name4]],'Data Options'!$R$1:$S$100,2,FALSE), " ")</f>
        <v xml:space="preserve"> </v>
      </c>
      <c r="AI36" s="32"/>
      <c r="AJ36" s="32"/>
      <c r="AK36" s="53"/>
      <c r="AL36" s="21" t="str">
        <f>IFERROR(VLOOKUP(March[[#This Row],[Drug Name5]],'Data Options'!$R$1:$S$100,2,FALSE), " ")</f>
        <v xml:space="preserve"> </v>
      </c>
      <c r="AM36" s="32"/>
      <c r="AN36" s="32"/>
      <c r="AO36" s="53"/>
      <c r="AP36" s="21" t="str">
        <f>IFERROR(VLOOKUP(March[[#This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21" t="str">
        <f>IFERROR(VLOOKUP(March[[#This Row],[Drug Name7]],'Data Options'!$R$1:$S$100,2,FALSE), " ")</f>
        <v xml:space="preserve"> </v>
      </c>
      <c r="AZ36" s="32"/>
      <c r="BA36" s="32"/>
      <c r="BB36" s="53"/>
      <c r="BC36" s="21" t="str">
        <f>IFERROR(VLOOKUP(March[[#This Row],[Drug Name8]],'Data Options'!$R$1:$S$100,2,FALSE), " ")</f>
        <v xml:space="preserve"> </v>
      </c>
      <c r="BD36" s="32"/>
      <c r="BE36" s="32"/>
      <c r="BF36" s="53"/>
      <c r="BG36" s="21" t="str">
        <f>IFERROR(VLOOKUP(March[[#This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21" t="str">
        <f>IFERROR(VLOOKUP(March[[#This Row],[Drug Name]],'Data Options'!$R$1:$S$100,2,FALSE), " ")</f>
        <v xml:space="preserve"> </v>
      </c>
      <c r="R37" s="32"/>
      <c r="S37" s="32"/>
      <c r="T37" s="53"/>
      <c r="U37" s="21" t="str">
        <f>IFERROR(VLOOKUP(March[[#This Row],[Drug Name2]],'Data Options'!$R$1:$S$100,2,FALSE), " ")</f>
        <v xml:space="preserve"> </v>
      </c>
      <c r="V37" s="32"/>
      <c r="W37" s="32"/>
      <c r="X37" s="53"/>
      <c r="Y37" s="21" t="str">
        <f>IFERROR(VLOOKUP(March[[#This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21" t="str">
        <f>IFERROR(VLOOKUP(March[[#This Row],[Drug Name4]],'Data Options'!$R$1:$S$100,2,FALSE), " ")</f>
        <v xml:space="preserve"> </v>
      </c>
      <c r="AI37" s="32"/>
      <c r="AJ37" s="32"/>
      <c r="AK37" s="53"/>
      <c r="AL37" s="21" t="str">
        <f>IFERROR(VLOOKUP(March[[#This Row],[Drug Name5]],'Data Options'!$R$1:$S$100,2,FALSE), " ")</f>
        <v xml:space="preserve"> </v>
      </c>
      <c r="AM37" s="32"/>
      <c r="AN37" s="32"/>
      <c r="AO37" s="53"/>
      <c r="AP37" s="21" t="str">
        <f>IFERROR(VLOOKUP(March[[#This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21" t="str">
        <f>IFERROR(VLOOKUP(March[[#This Row],[Drug Name7]],'Data Options'!$R$1:$S$100,2,FALSE), " ")</f>
        <v xml:space="preserve"> </v>
      </c>
      <c r="AZ37" s="32"/>
      <c r="BA37" s="32"/>
      <c r="BB37" s="53"/>
      <c r="BC37" s="21" t="str">
        <f>IFERROR(VLOOKUP(March[[#This Row],[Drug Name8]],'Data Options'!$R$1:$S$100,2,FALSE), " ")</f>
        <v xml:space="preserve"> </v>
      </c>
      <c r="BD37" s="32"/>
      <c r="BE37" s="32"/>
      <c r="BF37" s="53"/>
      <c r="BG37" s="21" t="str">
        <f>IFERROR(VLOOKUP(March[[#This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21" t="str">
        <f>IFERROR(VLOOKUP(March[[#This Row],[Drug Name]],'Data Options'!$R$1:$S$100,2,FALSE), " ")</f>
        <v xml:space="preserve"> </v>
      </c>
      <c r="R38" s="32"/>
      <c r="S38" s="32"/>
      <c r="T38" s="53"/>
      <c r="U38" s="21" t="str">
        <f>IFERROR(VLOOKUP(March[[#This Row],[Drug Name2]],'Data Options'!$R$1:$S$100,2,FALSE), " ")</f>
        <v xml:space="preserve"> </v>
      </c>
      <c r="V38" s="32"/>
      <c r="W38" s="32"/>
      <c r="X38" s="53"/>
      <c r="Y38" s="21" t="str">
        <f>IFERROR(VLOOKUP(March[[#This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21" t="str">
        <f>IFERROR(VLOOKUP(March[[#This Row],[Drug Name4]],'Data Options'!$R$1:$S$100,2,FALSE), " ")</f>
        <v xml:space="preserve"> </v>
      </c>
      <c r="AI38" s="32"/>
      <c r="AJ38" s="32"/>
      <c r="AK38" s="53"/>
      <c r="AL38" s="21" t="str">
        <f>IFERROR(VLOOKUP(March[[#This Row],[Drug Name5]],'Data Options'!$R$1:$S$100,2,FALSE), " ")</f>
        <v xml:space="preserve"> </v>
      </c>
      <c r="AM38" s="32"/>
      <c r="AN38" s="32"/>
      <c r="AO38" s="53"/>
      <c r="AP38" s="21" t="str">
        <f>IFERROR(VLOOKUP(March[[#This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21" t="str">
        <f>IFERROR(VLOOKUP(March[[#This Row],[Drug Name7]],'Data Options'!$R$1:$S$100,2,FALSE), " ")</f>
        <v xml:space="preserve"> </v>
      </c>
      <c r="AZ38" s="32"/>
      <c r="BA38" s="32"/>
      <c r="BB38" s="53"/>
      <c r="BC38" s="21" t="str">
        <f>IFERROR(VLOOKUP(March[[#This Row],[Drug Name8]],'Data Options'!$R$1:$S$100,2,FALSE), " ")</f>
        <v xml:space="preserve"> </v>
      </c>
      <c r="BD38" s="32"/>
      <c r="BE38" s="32"/>
      <c r="BF38" s="53"/>
      <c r="BG38" s="21" t="str">
        <f>IFERROR(VLOOKUP(March[[#This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21" t="str">
        <f>IFERROR(VLOOKUP(March[[#This Row],[Drug Name]],'Data Options'!$R$1:$S$100,2,FALSE), " ")</f>
        <v xml:space="preserve"> </v>
      </c>
      <c r="R39" s="32"/>
      <c r="S39" s="32"/>
      <c r="T39" s="53"/>
      <c r="U39" s="21" t="str">
        <f>IFERROR(VLOOKUP(March[[#This Row],[Drug Name2]],'Data Options'!$R$1:$S$100,2,FALSE), " ")</f>
        <v xml:space="preserve"> </v>
      </c>
      <c r="V39" s="32"/>
      <c r="W39" s="32"/>
      <c r="X39" s="53"/>
      <c r="Y39" s="21" t="str">
        <f>IFERROR(VLOOKUP(March[[#This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21" t="str">
        <f>IFERROR(VLOOKUP(March[[#This Row],[Drug Name4]],'Data Options'!$R$1:$S$100,2,FALSE), " ")</f>
        <v xml:space="preserve"> </v>
      </c>
      <c r="AI39" s="32"/>
      <c r="AJ39" s="32"/>
      <c r="AK39" s="53"/>
      <c r="AL39" s="21" t="str">
        <f>IFERROR(VLOOKUP(March[[#This Row],[Drug Name5]],'Data Options'!$R$1:$S$100,2,FALSE), " ")</f>
        <v xml:space="preserve"> </v>
      </c>
      <c r="AM39" s="32"/>
      <c r="AN39" s="32"/>
      <c r="AO39" s="53"/>
      <c r="AP39" s="21" t="str">
        <f>IFERROR(VLOOKUP(March[[#This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21" t="str">
        <f>IFERROR(VLOOKUP(March[[#This Row],[Drug Name7]],'Data Options'!$R$1:$S$100,2,FALSE), " ")</f>
        <v xml:space="preserve"> </v>
      </c>
      <c r="AZ39" s="32"/>
      <c r="BA39" s="32"/>
      <c r="BB39" s="53"/>
      <c r="BC39" s="21" t="str">
        <f>IFERROR(VLOOKUP(March[[#This Row],[Drug Name8]],'Data Options'!$R$1:$S$100,2,FALSE), " ")</f>
        <v xml:space="preserve"> </v>
      </c>
      <c r="BD39" s="32"/>
      <c r="BE39" s="32"/>
      <c r="BF39" s="53"/>
      <c r="BG39" s="21" t="str">
        <f>IFERROR(VLOOKUP(March[[#This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21" t="str">
        <f>IFERROR(VLOOKUP(March[[#This Row],[Drug Name]],'Data Options'!$R$1:$S$100,2,FALSE), " ")</f>
        <v xml:space="preserve"> </v>
      </c>
      <c r="R40" s="32"/>
      <c r="S40" s="32"/>
      <c r="T40" s="53"/>
      <c r="U40" s="21" t="str">
        <f>IFERROR(VLOOKUP(March[[#This Row],[Drug Name2]],'Data Options'!$R$1:$S$100,2,FALSE), " ")</f>
        <v xml:space="preserve"> </v>
      </c>
      <c r="V40" s="32"/>
      <c r="W40" s="32"/>
      <c r="X40" s="53"/>
      <c r="Y40" s="21" t="str">
        <f>IFERROR(VLOOKUP(March[[#This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21" t="str">
        <f>IFERROR(VLOOKUP(March[[#This Row],[Drug Name4]],'Data Options'!$R$1:$S$100,2,FALSE), " ")</f>
        <v xml:space="preserve"> </v>
      </c>
      <c r="AI40" s="32"/>
      <c r="AJ40" s="32"/>
      <c r="AK40" s="53"/>
      <c r="AL40" s="21" t="str">
        <f>IFERROR(VLOOKUP(March[[#This Row],[Drug Name5]],'Data Options'!$R$1:$S$100,2,FALSE), " ")</f>
        <v xml:space="preserve"> </v>
      </c>
      <c r="AM40" s="32"/>
      <c r="AN40" s="32"/>
      <c r="AO40" s="53"/>
      <c r="AP40" s="21" t="str">
        <f>IFERROR(VLOOKUP(March[[#This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21" t="str">
        <f>IFERROR(VLOOKUP(March[[#This Row],[Drug Name7]],'Data Options'!$R$1:$S$100,2,FALSE), " ")</f>
        <v xml:space="preserve"> </v>
      </c>
      <c r="AZ40" s="32"/>
      <c r="BA40" s="32"/>
      <c r="BB40" s="53"/>
      <c r="BC40" s="21" t="str">
        <f>IFERROR(VLOOKUP(March[[#This Row],[Drug Name8]],'Data Options'!$R$1:$S$100,2,FALSE), " ")</f>
        <v xml:space="preserve"> </v>
      </c>
      <c r="BD40" s="32"/>
      <c r="BE40" s="32"/>
      <c r="BF40" s="53"/>
      <c r="BG40" s="21" t="str">
        <f>IFERROR(VLOOKUP(March[[#This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21" t="str">
        <f>IFERROR(VLOOKUP(March[[#This Row],[Drug Name]],'Data Options'!$R$1:$S$100,2,FALSE), " ")</f>
        <v xml:space="preserve"> </v>
      </c>
      <c r="R41" s="32"/>
      <c r="S41" s="32"/>
      <c r="T41" s="53"/>
      <c r="U41" s="21" t="str">
        <f>IFERROR(VLOOKUP(March[[#This Row],[Drug Name2]],'Data Options'!$R$1:$S$100,2,FALSE), " ")</f>
        <v xml:space="preserve"> </v>
      </c>
      <c r="V41" s="32"/>
      <c r="W41" s="32"/>
      <c r="X41" s="53"/>
      <c r="Y41" s="21" t="str">
        <f>IFERROR(VLOOKUP(March[[#This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21" t="str">
        <f>IFERROR(VLOOKUP(March[[#This Row],[Drug Name4]],'Data Options'!$R$1:$S$100,2,FALSE), " ")</f>
        <v xml:space="preserve"> </v>
      </c>
      <c r="AI41" s="32"/>
      <c r="AJ41" s="32"/>
      <c r="AK41" s="53"/>
      <c r="AL41" s="21" t="str">
        <f>IFERROR(VLOOKUP(March[[#This Row],[Drug Name5]],'Data Options'!$R$1:$S$100,2,FALSE), " ")</f>
        <v xml:space="preserve"> </v>
      </c>
      <c r="AM41" s="32"/>
      <c r="AN41" s="32"/>
      <c r="AO41" s="53"/>
      <c r="AP41" s="21" t="str">
        <f>IFERROR(VLOOKUP(March[[#This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21" t="str">
        <f>IFERROR(VLOOKUP(March[[#This Row],[Drug Name7]],'Data Options'!$R$1:$S$100,2,FALSE), " ")</f>
        <v xml:space="preserve"> </v>
      </c>
      <c r="AZ41" s="32"/>
      <c r="BA41" s="32"/>
      <c r="BB41" s="53"/>
      <c r="BC41" s="21" t="str">
        <f>IFERROR(VLOOKUP(March[[#This Row],[Drug Name8]],'Data Options'!$R$1:$S$100,2,FALSE), " ")</f>
        <v xml:space="preserve"> </v>
      </c>
      <c r="BD41" s="32"/>
      <c r="BE41" s="32"/>
      <c r="BF41" s="53"/>
      <c r="BG41" s="21" t="str">
        <f>IFERROR(VLOOKUP(March[[#This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21" t="str">
        <f>IFERROR(VLOOKUP(March[[#This Row],[Drug Name]],'Data Options'!$R$1:$S$100,2,FALSE), " ")</f>
        <v xml:space="preserve"> </v>
      </c>
      <c r="R42" s="32"/>
      <c r="S42" s="32"/>
      <c r="T42" s="53"/>
      <c r="U42" s="21" t="str">
        <f>IFERROR(VLOOKUP(March[[#This Row],[Drug Name2]],'Data Options'!$R$1:$S$100,2,FALSE), " ")</f>
        <v xml:space="preserve"> </v>
      </c>
      <c r="V42" s="32"/>
      <c r="W42" s="32"/>
      <c r="X42" s="53"/>
      <c r="Y42" s="21" t="str">
        <f>IFERROR(VLOOKUP(March[[#This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21" t="str">
        <f>IFERROR(VLOOKUP(March[[#This Row],[Drug Name4]],'Data Options'!$R$1:$S$100,2,FALSE), " ")</f>
        <v xml:space="preserve"> </v>
      </c>
      <c r="AI42" s="32"/>
      <c r="AJ42" s="32"/>
      <c r="AK42" s="53"/>
      <c r="AL42" s="21" t="str">
        <f>IFERROR(VLOOKUP(March[[#This Row],[Drug Name5]],'Data Options'!$R$1:$S$100,2,FALSE), " ")</f>
        <v xml:space="preserve"> </v>
      </c>
      <c r="AM42" s="32"/>
      <c r="AN42" s="32"/>
      <c r="AO42" s="53"/>
      <c r="AP42" s="21" t="str">
        <f>IFERROR(VLOOKUP(March[[#This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21" t="str">
        <f>IFERROR(VLOOKUP(March[[#This Row],[Drug Name7]],'Data Options'!$R$1:$S$100,2,FALSE), " ")</f>
        <v xml:space="preserve"> </v>
      </c>
      <c r="AZ42" s="32"/>
      <c r="BA42" s="32"/>
      <c r="BB42" s="53"/>
      <c r="BC42" s="21" t="str">
        <f>IFERROR(VLOOKUP(March[[#This Row],[Drug Name8]],'Data Options'!$R$1:$S$100,2,FALSE), " ")</f>
        <v xml:space="preserve"> </v>
      </c>
      <c r="BD42" s="32"/>
      <c r="BE42" s="32"/>
      <c r="BF42" s="53"/>
      <c r="BG42" s="21" t="str">
        <f>IFERROR(VLOOKUP(March[[#This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21" t="str">
        <f>IFERROR(VLOOKUP(March[[#This Row],[Drug Name]],'Data Options'!$R$1:$S$100,2,FALSE), " ")</f>
        <v xml:space="preserve"> </v>
      </c>
      <c r="R43" s="32"/>
      <c r="S43" s="32"/>
      <c r="T43" s="53"/>
      <c r="U43" s="21" t="str">
        <f>IFERROR(VLOOKUP(March[[#This Row],[Drug Name2]],'Data Options'!$R$1:$S$100,2,FALSE), " ")</f>
        <v xml:space="preserve"> </v>
      </c>
      <c r="V43" s="32"/>
      <c r="W43" s="32"/>
      <c r="X43" s="53"/>
      <c r="Y43" s="21" t="str">
        <f>IFERROR(VLOOKUP(March[[#This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21" t="str">
        <f>IFERROR(VLOOKUP(March[[#This Row],[Drug Name4]],'Data Options'!$R$1:$S$100,2,FALSE), " ")</f>
        <v xml:space="preserve"> </v>
      </c>
      <c r="AI43" s="32"/>
      <c r="AJ43" s="32"/>
      <c r="AK43" s="53"/>
      <c r="AL43" s="21" t="str">
        <f>IFERROR(VLOOKUP(March[[#This Row],[Drug Name5]],'Data Options'!$R$1:$S$100,2,FALSE), " ")</f>
        <v xml:space="preserve"> </v>
      </c>
      <c r="AM43" s="32"/>
      <c r="AN43" s="32"/>
      <c r="AO43" s="53"/>
      <c r="AP43" s="21" t="str">
        <f>IFERROR(VLOOKUP(March[[#This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21" t="str">
        <f>IFERROR(VLOOKUP(March[[#This Row],[Drug Name7]],'Data Options'!$R$1:$S$100,2,FALSE), " ")</f>
        <v xml:space="preserve"> </v>
      </c>
      <c r="AZ43" s="32"/>
      <c r="BA43" s="32"/>
      <c r="BB43" s="53"/>
      <c r="BC43" s="21" t="str">
        <f>IFERROR(VLOOKUP(March[[#This Row],[Drug Name8]],'Data Options'!$R$1:$S$100,2,FALSE), " ")</f>
        <v xml:space="preserve"> </v>
      </c>
      <c r="BD43" s="32"/>
      <c r="BE43" s="32"/>
      <c r="BF43" s="53"/>
      <c r="BG43" s="21" t="str">
        <f>IFERROR(VLOOKUP(March[[#This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21" t="str">
        <f>IFERROR(VLOOKUP(March[[#This Row],[Drug Name]],'Data Options'!$R$1:$S$100,2,FALSE), " ")</f>
        <v xml:space="preserve"> </v>
      </c>
      <c r="R44" s="32"/>
      <c r="S44" s="32"/>
      <c r="T44" s="53"/>
      <c r="U44" s="21" t="str">
        <f>IFERROR(VLOOKUP(March[[#This Row],[Drug Name2]],'Data Options'!$R$1:$S$100,2,FALSE), " ")</f>
        <v xml:space="preserve"> </v>
      </c>
      <c r="V44" s="32"/>
      <c r="W44" s="32"/>
      <c r="X44" s="53"/>
      <c r="Y44" s="21" t="str">
        <f>IFERROR(VLOOKUP(March[[#This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21" t="str">
        <f>IFERROR(VLOOKUP(March[[#This Row],[Drug Name4]],'Data Options'!$R$1:$S$100,2,FALSE), " ")</f>
        <v xml:space="preserve"> </v>
      </c>
      <c r="AI44" s="32"/>
      <c r="AJ44" s="32"/>
      <c r="AK44" s="53"/>
      <c r="AL44" s="21" t="str">
        <f>IFERROR(VLOOKUP(March[[#This Row],[Drug Name5]],'Data Options'!$R$1:$S$100,2,FALSE), " ")</f>
        <v xml:space="preserve"> </v>
      </c>
      <c r="AM44" s="32"/>
      <c r="AN44" s="32"/>
      <c r="AO44" s="53"/>
      <c r="AP44" s="21" t="str">
        <f>IFERROR(VLOOKUP(March[[#This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21" t="str">
        <f>IFERROR(VLOOKUP(March[[#This Row],[Drug Name7]],'Data Options'!$R$1:$S$100,2,FALSE), " ")</f>
        <v xml:space="preserve"> </v>
      </c>
      <c r="AZ44" s="32"/>
      <c r="BA44" s="32"/>
      <c r="BB44" s="53"/>
      <c r="BC44" s="21" t="str">
        <f>IFERROR(VLOOKUP(March[[#This Row],[Drug Name8]],'Data Options'!$R$1:$S$100,2,FALSE), " ")</f>
        <v xml:space="preserve"> </v>
      </c>
      <c r="BD44" s="32"/>
      <c r="BE44" s="32"/>
      <c r="BF44" s="53"/>
      <c r="BG44" s="21" t="str">
        <f>IFERROR(VLOOKUP(March[[#This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21" t="str">
        <f>IFERROR(VLOOKUP(March[[#This Row],[Drug Name]],'Data Options'!$R$1:$S$100,2,FALSE), " ")</f>
        <v xml:space="preserve"> </v>
      </c>
      <c r="R45" s="32"/>
      <c r="S45" s="32"/>
      <c r="T45" s="53"/>
      <c r="U45" s="21" t="str">
        <f>IFERROR(VLOOKUP(March[[#This Row],[Drug Name2]],'Data Options'!$R$1:$S$100,2,FALSE), " ")</f>
        <v xml:space="preserve"> </v>
      </c>
      <c r="V45" s="32"/>
      <c r="W45" s="32"/>
      <c r="X45" s="53"/>
      <c r="Y45" s="21" t="str">
        <f>IFERROR(VLOOKUP(March[[#This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21" t="str">
        <f>IFERROR(VLOOKUP(March[[#This Row],[Drug Name4]],'Data Options'!$R$1:$S$100,2,FALSE), " ")</f>
        <v xml:space="preserve"> </v>
      </c>
      <c r="AI45" s="32"/>
      <c r="AJ45" s="32"/>
      <c r="AK45" s="53"/>
      <c r="AL45" s="21" t="str">
        <f>IFERROR(VLOOKUP(March[[#This Row],[Drug Name5]],'Data Options'!$R$1:$S$100,2,FALSE), " ")</f>
        <v xml:space="preserve"> </v>
      </c>
      <c r="AM45" s="32"/>
      <c r="AN45" s="32"/>
      <c r="AO45" s="53"/>
      <c r="AP45" s="21" t="str">
        <f>IFERROR(VLOOKUP(March[[#This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21" t="str">
        <f>IFERROR(VLOOKUP(March[[#This Row],[Drug Name7]],'Data Options'!$R$1:$S$100,2,FALSE), " ")</f>
        <v xml:space="preserve"> </v>
      </c>
      <c r="AZ45" s="32"/>
      <c r="BA45" s="32"/>
      <c r="BB45" s="53"/>
      <c r="BC45" s="21" t="str">
        <f>IFERROR(VLOOKUP(March[[#This Row],[Drug Name8]],'Data Options'!$R$1:$S$100,2,FALSE), " ")</f>
        <v xml:space="preserve"> </v>
      </c>
      <c r="BD45" s="32"/>
      <c r="BE45" s="32"/>
      <c r="BF45" s="53"/>
      <c r="BG45" s="21" t="str">
        <f>IFERROR(VLOOKUP(March[[#This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21" t="str">
        <f>IFERROR(VLOOKUP(March[[#This Row],[Drug Name]],'Data Options'!$R$1:$S$100,2,FALSE), " ")</f>
        <v xml:space="preserve"> </v>
      </c>
      <c r="R46" s="32"/>
      <c r="S46" s="32"/>
      <c r="T46" s="53"/>
      <c r="U46" s="21" t="str">
        <f>IFERROR(VLOOKUP(March[[#This Row],[Drug Name2]],'Data Options'!$R$1:$S$100,2,FALSE), " ")</f>
        <v xml:space="preserve"> </v>
      </c>
      <c r="V46" s="32"/>
      <c r="W46" s="32"/>
      <c r="X46" s="53"/>
      <c r="Y46" s="21" t="str">
        <f>IFERROR(VLOOKUP(March[[#This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21" t="str">
        <f>IFERROR(VLOOKUP(March[[#This Row],[Drug Name4]],'Data Options'!$R$1:$S$100,2,FALSE), " ")</f>
        <v xml:space="preserve"> </v>
      </c>
      <c r="AI46" s="32"/>
      <c r="AJ46" s="32"/>
      <c r="AK46" s="53"/>
      <c r="AL46" s="21" t="str">
        <f>IFERROR(VLOOKUP(March[[#This Row],[Drug Name5]],'Data Options'!$R$1:$S$100,2,FALSE), " ")</f>
        <v xml:space="preserve"> </v>
      </c>
      <c r="AM46" s="32"/>
      <c r="AN46" s="32"/>
      <c r="AO46" s="53"/>
      <c r="AP46" s="21" t="str">
        <f>IFERROR(VLOOKUP(March[[#This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21" t="str">
        <f>IFERROR(VLOOKUP(March[[#This Row],[Drug Name7]],'Data Options'!$R$1:$S$100,2,FALSE), " ")</f>
        <v xml:space="preserve"> </v>
      </c>
      <c r="AZ46" s="32"/>
      <c r="BA46" s="32"/>
      <c r="BB46" s="53"/>
      <c r="BC46" s="21" t="str">
        <f>IFERROR(VLOOKUP(March[[#This Row],[Drug Name8]],'Data Options'!$R$1:$S$100,2,FALSE), " ")</f>
        <v xml:space="preserve"> </v>
      </c>
      <c r="BD46" s="32"/>
      <c r="BE46" s="32"/>
      <c r="BF46" s="53"/>
      <c r="BG46" s="21" t="str">
        <f>IFERROR(VLOOKUP(March[[#This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21" t="str">
        <f>IFERROR(VLOOKUP(March[[#This Row],[Drug Name]],'Data Options'!$R$1:$S$100,2,FALSE), " ")</f>
        <v xml:space="preserve"> </v>
      </c>
      <c r="R47" s="32"/>
      <c r="S47" s="32"/>
      <c r="T47" s="53"/>
      <c r="U47" s="21" t="str">
        <f>IFERROR(VLOOKUP(March[[#This Row],[Drug Name2]],'Data Options'!$R$1:$S$100,2,FALSE), " ")</f>
        <v xml:space="preserve"> </v>
      </c>
      <c r="V47" s="32"/>
      <c r="W47" s="32"/>
      <c r="X47" s="53"/>
      <c r="Y47" s="21" t="str">
        <f>IFERROR(VLOOKUP(March[[#This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21" t="str">
        <f>IFERROR(VLOOKUP(March[[#This Row],[Drug Name4]],'Data Options'!$R$1:$S$100,2,FALSE), " ")</f>
        <v xml:space="preserve"> </v>
      </c>
      <c r="AI47" s="32"/>
      <c r="AJ47" s="32"/>
      <c r="AK47" s="53"/>
      <c r="AL47" s="21" t="str">
        <f>IFERROR(VLOOKUP(March[[#This Row],[Drug Name5]],'Data Options'!$R$1:$S$100,2,FALSE), " ")</f>
        <v xml:space="preserve"> </v>
      </c>
      <c r="AM47" s="32"/>
      <c r="AN47" s="32"/>
      <c r="AO47" s="53"/>
      <c r="AP47" s="21" t="str">
        <f>IFERROR(VLOOKUP(March[[#This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21" t="str">
        <f>IFERROR(VLOOKUP(March[[#This Row],[Drug Name7]],'Data Options'!$R$1:$S$100,2,FALSE), " ")</f>
        <v xml:space="preserve"> </v>
      </c>
      <c r="AZ47" s="32"/>
      <c r="BA47" s="32"/>
      <c r="BB47" s="53"/>
      <c r="BC47" s="21" t="str">
        <f>IFERROR(VLOOKUP(March[[#This Row],[Drug Name8]],'Data Options'!$R$1:$S$100,2,FALSE), " ")</f>
        <v xml:space="preserve"> </v>
      </c>
      <c r="BD47" s="32"/>
      <c r="BE47" s="32"/>
      <c r="BF47" s="53"/>
      <c r="BG47" s="21" t="str">
        <f>IFERROR(VLOOKUP(March[[#This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21" t="str">
        <f>IFERROR(VLOOKUP(March[[#This Row],[Drug Name]],'Data Options'!$R$1:$S$100,2,FALSE), " ")</f>
        <v xml:space="preserve"> </v>
      </c>
      <c r="R48" s="32"/>
      <c r="S48" s="32"/>
      <c r="T48" s="53"/>
      <c r="U48" s="21" t="str">
        <f>IFERROR(VLOOKUP(March[[#This Row],[Drug Name2]],'Data Options'!$R$1:$S$100,2,FALSE), " ")</f>
        <v xml:space="preserve"> </v>
      </c>
      <c r="V48" s="32"/>
      <c r="W48" s="32"/>
      <c r="X48" s="53"/>
      <c r="Y48" s="21" t="str">
        <f>IFERROR(VLOOKUP(March[[#This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21" t="str">
        <f>IFERROR(VLOOKUP(March[[#This Row],[Drug Name4]],'Data Options'!$R$1:$S$100,2,FALSE), " ")</f>
        <v xml:space="preserve"> </v>
      </c>
      <c r="AI48" s="32"/>
      <c r="AJ48" s="32"/>
      <c r="AK48" s="53"/>
      <c r="AL48" s="21" t="str">
        <f>IFERROR(VLOOKUP(March[[#This Row],[Drug Name5]],'Data Options'!$R$1:$S$100,2,FALSE), " ")</f>
        <v xml:space="preserve"> </v>
      </c>
      <c r="AM48" s="32"/>
      <c r="AN48" s="32"/>
      <c r="AO48" s="53"/>
      <c r="AP48" s="21" t="str">
        <f>IFERROR(VLOOKUP(March[[#This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21" t="str">
        <f>IFERROR(VLOOKUP(March[[#This Row],[Drug Name7]],'Data Options'!$R$1:$S$100,2,FALSE), " ")</f>
        <v xml:space="preserve"> </v>
      </c>
      <c r="AZ48" s="32"/>
      <c r="BA48" s="32"/>
      <c r="BB48" s="53"/>
      <c r="BC48" s="21" t="str">
        <f>IFERROR(VLOOKUP(March[[#This Row],[Drug Name8]],'Data Options'!$R$1:$S$100,2,FALSE), " ")</f>
        <v xml:space="preserve"> </v>
      </c>
      <c r="BD48" s="32"/>
      <c r="BE48" s="32"/>
      <c r="BF48" s="53"/>
      <c r="BG48" s="21" t="str">
        <f>IFERROR(VLOOKUP(March[[#This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21" t="str">
        <f>IFERROR(VLOOKUP(March[[#This Row],[Drug Name]],'Data Options'!$R$1:$S$100,2,FALSE), " ")</f>
        <v xml:space="preserve"> </v>
      </c>
      <c r="R49" s="32"/>
      <c r="S49" s="32"/>
      <c r="T49" s="53"/>
      <c r="U49" s="21" t="str">
        <f>IFERROR(VLOOKUP(March[[#This Row],[Drug Name2]],'Data Options'!$R$1:$S$100,2,FALSE), " ")</f>
        <v xml:space="preserve"> </v>
      </c>
      <c r="V49" s="32"/>
      <c r="W49" s="32"/>
      <c r="X49" s="53"/>
      <c r="Y49" s="21" t="str">
        <f>IFERROR(VLOOKUP(March[[#This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21" t="str">
        <f>IFERROR(VLOOKUP(March[[#This Row],[Drug Name4]],'Data Options'!$R$1:$S$100,2,FALSE), " ")</f>
        <v xml:space="preserve"> </v>
      </c>
      <c r="AI49" s="32"/>
      <c r="AJ49" s="32"/>
      <c r="AK49" s="53"/>
      <c r="AL49" s="21" t="str">
        <f>IFERROR(VLOOKUP(March[[#This Row],[Drug Name5]],'Data Options'!$R$1:$S$100,2,FALSE), " ")</f>
        <v xml:space="preserve"> </v>
      </c>
      <c r="AM49" s="32"/>
      <c r="AN49" s="32"/>
      <c r="AO49" s="53"/>
      <c r="AP49" s="21" t="str">
        <f>IFERROR(VLOOKUP(March[[#This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21" t="str">
        <f>IFERROR(VLOOKUP(March[[#This Row],[Drug Name7]],'Data Options'!$R$1:$S$100,2,FALSE), " ")</f>
        <v xml:space="preserve"> </v>
      </c>
      <c r="AZ49" s="32"/>
      <c r="BA49" s="32"/>
      <c r="BB49" s="53"/>
      <c r="BC49" s="21" t="str">
        <f>IFERROR(VLOOKUP(March[[#This Row],[Drug Name8]],'Data Options'!$R$1:$S$100,2,FALSE), " ")</f>
        <v xml:space="preserve"> </v>
      </c>
      <c r="BD49" s="32"/>
      <c r="BE49" s="32"/>
      <c r="BF49" s="53"/>
      <c r="BG49" s="21" t="str">
        <f>IFERROR(VLOOKUP(March[[#This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21" t="str">
        <f>IFERROR(VLOOKUP(March[[#This Row],[Drug Name]],'Data Options'!$R$1:$S$100,2,FALSE), " ")</f>
        <v xml:space="preserve"> </v>
      </c>
      <c r="R50" s="32"/>
      <c r="S50" s="32"/>
      <c r="T50" s="53"/>
      <c r="U50" s="21" t="str">
        <f>IFERROR(VLOOKUP(March[[#This Row],[Drug Name2]],'Data Options'!$R$1:$S$100,2,FALSE), " ")</f>
        <v xml:space="preserve"> </v>
      </c>
      <c r="V50" s="32"/>
      <c r="W50" s="32"/>
      <c r="X50" s="53"/>
      <c r="Y50" s="21" t="str">
        <f>IFERROR(VLOOKUP(March[[#This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21" t="str">
        <f>IFERROR(VLOOKUP(March[[#This Row],[Drug Name4]],'Data Options'!$R$1:$S$100,2,FALSE), " ")</f>
        <v xml:space="preserve"> </v>
      </c>
      <c r="AI50" s="32"/>
      <c r="AJ50" s="32"/>
      <c r="AK50" s="53"/>
      <c r="AL50" s="21" t="str">
        <f>IFERROR(VLOOKUP(March[[#This Row],[Drug Name5]],'Data Options'!$R$1:$S$100,2,FALSE), " ")</f>
        <v xml:space="preserve"> </v>
      </c>
      <c r="AM50" s="32"/>
      <c r="AN50" s="32"/>
      <c r="AO50" s="53"/>
      <c r="AP50" s="21" t="str">
        <f>IFERROR(VLOOKUP(March[[#This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21" t="str">
        <f>IFERROR(VLOOKUP(March[[#This Row],[Drug Name7]],'Data Options'!$R$1:$S$100,2,FALSE), " ")</f>
        <v xml:space="preserve"> </v>
      </c>
      <c r="AZ50" s="32"/>
      <c r="BA50" s="32"/>
      <c r="BB50" s="53"/>
      <c r="BC50" s="21" t="str">
        <f>IFERROR(VLOOKUP(March[[#This Row],[Drug Name8]],'Data Options'!$R$1:$S$100,2,FALSE), " ")</f>
        <v xml:space="preserve"> </v>
      </c>
      <c r="BD50" s="32"/>
      <c r="BE50" s="32"/>
      <c r="BF50" s="53"/>
      <c r="BG50" s="21" t="str">
        <f>IFERROR(VLOOKUP(March[[#This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21" t="str">
        <f>IFERROR(VLOOKUP(March[[#This Row],[Drug Name]],'Data Options'!$R$1:$S$100,2,FALSE), " ")</f>
        <v xml:space="preserve"> </v>
      </c>
      <c r="R51" s="32"/>
      <c r="S51" s="32"/>
      <c r="T51" s="53"/>
      <c r="U51" s="21" t="str">
        <f>IFERROR(VLOOKUP(March[[#This Row],[Drug Name2]],'Data Options'!$R$1:$S$100,2,FALSE), " ")</f>
        <v xml:space="preserve"> </v>
      </c>
      <c r="V51" s="32"/>
      <c r="W51" s="32"/>
      <c r="X51" s="53"/>
      <c r="Y51" s="21" t="str">
        <f>IFERROR(VLOOKUP(March[[#This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21" t="str">
        <f>IFERROR(VLOOKUP(March[[#This Row],[Drug Name4]],'Data Options'!$R$1:$S$100,2,FALSE), " ")</f>
        <v xml:space="preserve"> </v>
      </c>
      <c r="AI51" s="32"/>
      <c r="AJ51" s="32"/>
      <c r="AK51" s="53"/>
      <c r="AL51" s="21" t="str">
        <f>IFERROR(VLOOKUP(March[[#This Row],[Drug Name5]],'Data Options'!$R$1:$S$100,2,FALSE), " ")</f>
        <v xml:space="preserve"> </v>
      </c>
      <c r="AM51" s="32"/>
      <c r="AN51" s="32"/>
      <c r="AO51" s="53"/>
      <c r="AP51" s="21" t="str">
        <f>IFERROR(VLOOKUP(March[[#This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21" t="str">
        <f>IFERROR(VLOOKUP(March[[#This Row],[Drug Name7]],'Data Options'!$R$1:$S$100,2,FALSE), " ")</f>
        <v xml:space="preserve"> </v>
      </c>
      <c r="AZ51" s="32"/>
      <c r="BA51" s="32"/>
      <c r="BB51" s="53"/>
      <c r="BC51" s="21" t="str">
        <f>IFERROR(VLOOKUP(March[[#This Row],[Drug Name8]],'Data Options'!$R$1:$S$100,2,FALSE), " ")</f>
        <v xml:space="preserve"> </v>
      </c>
      <c r="BD51" s="32"/>
      <c r="BE51" s="32"/>
      <c r="BF51" s="53"/>
      <c r="BG51" s="21" t="str">
        <f>IFERROR(VLOOKUP(March[[#This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21" t="str">
        <f>IFERROR(VLOOKUP(March[[#This Row],[Drug Name]],'Data Options'!$R$1:$S$100,2,FALSE), " ")</f>
        <v xml:space="preserve"> </v>
      </c>
      <c r="R52" s="32"/>
      <c r="S52" s="32"/>
      <c r="T52" s="53"/>
      <c r="U52" s="21" t="str">
        <f>IFERROR(VLOOKUP(March[[#This Row],[Drug Name2]],'Data Options'!$R$1:$S$100,2,FALSE), " ")</f>
        <v xml:space="preserve"> </v>
      </c>
      <c r="V52" s="32"/>
      <c r="W52" s="32"/>
      <c r="X52" s="53"/>
      <c r="Y52" s="21" t="str">
        <f>IFERROR(VLOOKUP(March[[#This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21" t="str">
        <f>IFERROR(VLOOKUP(March[[#This Row],[Drug Name4]],'Data Options'!$R$1:$S$100,2,FALSE), " ")</f>
        <v xml:space="preserve"> </v>
      </c>
      <c r="AI52" s="32"/>
      <c r="AJ52" s="32"/>
      <c r="AK52" s="53"/>
      <c r="AL52" s="21" t="str">
        <f>IFERROR(VLOOKUP(March[[#This Row],[Drug Name5]],'Data Options'!$R$1:$S$100,2,FALSE), " ")</f>
        <v xml:space="preserve"> </v>
      </c>
      <c r="AM52" s="32"/>
      <c r="AN52" s="32"/>
      <c r="AO52" s="53"/>
      <c r="AP52" s="21" t="str">
        <f>IFERROR(VLOOKUP(March[[#This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21" t="str">
        <f>IFERROR(VLOOKUP(March[[#This Row],[Drug Name7]],'Data Options'!$R$1:$S$100,2,FALSE), " ")</f>
        <v xml:space="preserve"> </v>
      </c>
      <c r="AZ52" s="32"/>
      <c r="BA52" s="32"/>
      <c r="BB52" s="53"/>
      <c r="BC52" s="21" t="str">
        <f>IFERROR(VLOOKUP(March[[#This Row],[Drug Name8]],'Data Options'!$R$1:$S$100,2,FALSE), " ")</f>
        <v xml:space="preserve"> </v>
      </c>
      <c r="BD52" s="32"/>
      <c r="BE52" s="32"/>
      <c r="BF52" s="53"/>
      <c r="BG52" s="21" t="str">
        <f>IFERROR(VLOOKUP(March[[#This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21" t="str">
        <f>IFERROR(VLOOKUP(March[[#This Row],[Drug Name]],'Data Options'!$R$1:$S$100,2,FALSE), " ")</f>
        <v xml:space="preserve"> </v>
      </c>
      <c r="R53" s="32"/>
      <c r="S53" s="32"/>
      <c r="T53" s="53"/>
      <c r="U53" s="21" t="str">
        <f>IFERROR(VLOOKUP(March[[#This Row],[Drug Name2]],'Data Options'!$R$1:$S$100,2,FALSE), " ")</f>
        <v xml:space="preserve"> </v>
      </c>
      <c r="V53" s="32"/>
      <c r="W53" s="32"/>
      <c r="X53" s="53"/>
      <c r="Y53" s="21" t="str">
        <f>IFERROR(VLOOKUP(March[[#This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21" t="str">
        <f>IFERROR(VLOOKUP(March[[#This Row],[Drug Name4]],'Data Options'!$R$1:$S$100,2,FALSE), " ")</f>
        <v xml:space="preserve"> </v>
      </c>
      <c r="AI53" s="32"/>
      <c r="AJ53" s="32"/>
      <c r="AK53" s="53"/>
      <c r="AL53" s="21" t="str">
        <f>IFERROR(VLOOKUP(March[[#This Row],[Drug Name5]],'Data Options'!$R$1:$S$100,2,FALSE), " ")</f>
        <v xml:space="preserve"> </v>
      </c>
      <c r="AM53" s="32"/>
      <c r="AN53" s="32"/>
      <c r="AO53" s="53"/>
      <c r="AP53" s="21" t="str">
        <f>IFERROR(VLOOKUP(March[[#This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21" t="str">
        <f>IFERROR(VLOOKUP(March[[#This Row],[Drug Name7]],'Data Options'!$R$1:$S$100,2,FALSE), " ")</f>
        <v xml:space="preserve"> </v>
      </c>
      <c r="AZ53" s="32"/>
      <c r="BA53" s="32"/>
      <c r="BB53" s="53"/>
      <c r="BC53" s="21" t="str">
        <f>IFERROR(VLOOKUP(March[[#This Row],[Drug Name8]],'Data Options'!$R$1:$S$100,2,FALSE), " ")</f>
        <v xml:space="preserve"> </v>
      </c>
      <c r="BD53" s="32"/>
      <c r="BE53" s="32"/>
      <c r="BF53" s="53"/>
      <c r="BG53" s="21" t="str">
        <f>IFERROR(VLOOKUP(March[[#This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21" t="str">
        <f>IFERROR(VLOOKUP(March[[#This Row],[Drug Name]],'Data Options'!$R$1:$S$100,2,FALSE), " ")</f>
        <v xml:space="preserve"> </v>
      </c>
      <c r="R54" s="32"/>
      <c r="S54" s="32"/>
      <c r="T54" s="53"/>
      <c r="U54" s="21" t="str">
        <f>IFERROR(VLOOKUP(March[[#This Row],[Drug Name2]],'Data Options'!$R$1:$S$100,2,FALSE), " ")</f>
        <v xml:space="preserve"> </v>
      </c>
      <c r="V54" s="32"/>
      <c r="W54" s="32"/>
      <c r="X54" s="53"/>
      <c r="Y54" s="21" t="str">
        <f>IFERROR(VLOOKUP(March[[#This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21" t="str">
        <f>IFERROR(VLOOKUP(March[[#This Row],[Drug Name4]],'Data Options'!$R$1:$S$100,2,FALSE), " ")</f>
        <v xml:space="preserve"> </v>
      </c>
      <c r="AI54" s="32"/>
      <c r="AJ54" s="32"/>
      <c r="AK54" s="53"/>
      <c r="AL54" s="21" t="str">
        <f>IFERROR(VLOOKUP(March[[#This Row],[Drug Name5]],'Data Options'!$R$1:$S$100,2,FALSE), " ")</f>
        <v xml:space="preserve"> </v>
      </c>
      <c r="AM54" s="32"/>
      <c r="AN54" s="32"/>
      <c r="AO54" s="53"/>
      <c r="AP54" s="21" t="str">
        <f>IFERROR(VLOOKUP(March[[#This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21" t="str">
        <f>IFERROR(VLOOKUP(March[[#This Row],[Drug Name7]],'Data Options'!$R$1:$S$100,2,FALSE), " ")</f>
        <v xml:space="preserve"> </v>
      </c>
      <c r="AZ54" s="32"/>
      <c r="BA54" s="32"/>
      <c r="BB54" s="53"/>
      <c r="BC54" s="21" t="str">
        <f>IFERROR(VLOOKUP(March[[#This Row],[Drug Name8]],'Data Options'!$R$1:$S$100,2,FALSE), " ")</f>
        <v xml:space="preserve"> </v>
      </c>
      <c r="BD54" s="32"/>
      <c r="BE54" s="32"/>
      <c r="BF54" s="53"/>
      <c r="BG54" s="21" t="str">
        <f>IFERROR(VLOOKUP(March[[#This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21" t="str">
        <f>IFERROR(VLOOKUP(March[[#This Row],[Drug Name]],'Data Options'!$R$1:$S$100,2,FALSE), " ")</f>
        <v xml:space="preserve"> </v>
      </c>
      <c r="R55" s="32"/>
      <c r="S55" s="32"/>
      <c r="T55" s="53"/>
      <c r="U55" s="21" t="str">
        <f>IFERROR(VLOOKUP(March[[#This Row],[Drug Name2]],'Data Options'!$R$1:$S$100,2,FALSE), " ")</f>
        <v xml:space="preserve"> </v>
      </c>
      <c r="V55" s="32"/>
      <c r="W55" s="32"/>
      <c r="X55" s="53"/>
      <c r="Y55" s="21" t="str">
        <f>IFERROR(VLOOKUP(March[[#This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21" t="str">
        <f>IFERROR(VLOOKUP(March[[#This Row],[Drug Name4]],'Data Options'!$R$1:$S$100,2,FALSE), " ")</f>
        <v xml:space="preserve"> </v>
      </c>
      <c r="AI55" s="32"/>
      <c r="AJ55" s="32"/>
      <c r="AK55" s="53"/>
      <c r="AL55" s="21" t="str">
        <f>IFERROR(VLOOKUP(March[[#This Row],[Drug Name5]],'Data Options'!$R$1:$S$100,2,FALSE), " ")</f>
        <v xml:space="preserve"> </v>
      </c>
      <c r="AM55" s="32"/>
      <c r="AN55" s="32"/>
      <c r="AO55" s="53"/>
      <c r="AP55" s="21" t="str">
        <f>IFERROR(VLOOKUP(March[[#This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21" t="str">
        <f>IFERROR(VLOOKUP(March[[#This Row],[Drug Name7]],'Data Options'!$R$1:$S$100,2,FALSE), " ")</f>
        <v xml:space="preserve"> </v>
      </c>
      <c r="AZ55" s="32"/>
      <c r="BA55" s="32"/>
      <c r="BB55" s="53"/>
      <c r="BC55" s="21" t="str">
        <f>IFERROR(VLOOKUP(March[[#This Row],[Drug Name8]],'Data Options'!$R$1:$S$100,2,FALSE), " ")</f>
        <v xml:space="preserve"> </v>
      </c>
      <c r="BD55" s="32"/>
      <c r="BE55" s="32"/>
      <c r="BF55" s="53"/>
      <c r="BG55" s="21" t="str">
        <f>IFERROR(VLOOKUP(March[[#This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21" t="str">
        <f>IFERROR(VLOOKUP(March[[#This Row],[Drug Name]],'Data Options'!$R$1:$S$100,2,FALSE), " ")</f>
        <v xml:space="preserve"> </v>
      </c>
      <c r="R56" s="32"/>
      <c r="S56" s="32"/>
      <c r="T56" s="53"/>
      <c r="U56" s="21" t="str">
        <f>IFERROR(VLOOKUP(March[[#This Row],[Drug Name2]],'Data Options'!$R$1:$S$100,2,FALSE), " ")</f>
        <v xml:space="preserve"> </v>
      </c>
      <c r="V56" s="32"/>
      <c r="W56" s="32"/>
      <c r="X56" s="53"/>
      <c r="Y56" s="21" t="str">
        <f>IFERROR(VLOOKUP(March[[#This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21" t="str">
        <f>IFERROR(VLOOKUP(March[[#This Row],[Drug Name4]],'Data Options'!$R$1:$S$100,2,FALSE), " ")</f>
        <v xml:space="preserve"> </v>
      </c>
      <c r="AI56" s="32"/>
      <c r="AJ56" s="32"/>
      <c r="AK56" s="53"/>
      <c r="AL56" s="21" t="str">
        <f>IFERROR(VLOOKUP(March[[#This Row],[Drug Name5]],'Data Options'!$R$1:$S$100,2,FALSE), " ")</f>
        <v xml:space="preserve"> </v>
      </c>
      <c r="AM56" s="32"/>
      <c r="AN56" s="32"/>
      <c r="AO56" s="53"/>
      <c r="AP56" s="21" t="str">
        <f>IFERROR(VLOOKUP(March[[#This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21" t="str">
        <f>IFERROR(VLOOKUP(March[[#This Row],[Drug Name7]],'Data Options'!$R$1:$S$100,2,FALSE), " ")</f>
        <v xml:space="preserve"> </v>
      </c>
      <c r="AZ56" s="32"/>
      <c r="BA56" s="32"/>
      <c r="BB56" s="53"/>
      <c r="BC56" s="21" t="str">
        <f>IFERROR(VLOOKUP(March[[#This Row],[Drug Name8]],'Data Options'!$R$1:$S$100,2,FALSE), " ")</f>
        <v xml:space="preserve"> </v>
      </c>
      <c r="BD56" s="32"/>
      <c r="BE56" s="32"/>
      <c r="BF56" s="53"/>
      <c r="BG56" s="21" t="str">
        <f>IFERROR(VLOOKUP(March[[#This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21" t="str">
        <f>IFERROR(VLOOKUP(March[[#This Row],[Drug Name]],'Data Options'!$R$1:$S$100,2,FALSE), " ")</f>
        <v xml:space="preserve"> </v>
      </c>
      <c r="R57" s="32"/>
      <c r="S57" s="32"/>
      <c r="T57" s="53"/>
      <c r="U57" s="21" t="str">
        <f>IFERROR(VLOOKUP(March[[#This Row],[Drug Name2]],'Data Options'!$R$1:$S$100,2,FALSE), " ")</f>
        <v xml:space="preserve"> </v>
      </c>
      <c r="V57" s="32"/>
      <c r="W57" s="32"/>
      <c r="X57" s="53"/>
      <c r="Y57" s="21" t="str">
        <f>IFERROR(VLOOKUP(March[[#This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21" t="str">
        <f>IFERROR(VLOOKUP(March[[#This Row],[Drug Name4]],'Data Options'!$R$1:$S$100,2,FALSE), " ")</f>
        <v xml:space="preserve"> </v>
      </c>
      <c r="AI57" s="32"/>
      <c r="AJ57" s="32"/>
      <c r="AK57" s="53"/>
      <c r="AL57" s="21" t="str">
        <f>IFERROR(VLOOKUP(March[[#This Row],[Drug Name5]],'Data Options'!$R$1:$S$100,2,FALSE), " ")</f>
        <v xml:space="preserve"> </v>
      </c>
      <c r="AM57" s="32"/>
      <c r="AN57" s="32"/>
      <c r="AO57" s="53"/>
      <c r="AP57" s="21" t="str">
        <f>IFERROR(VLOOKUP(March[[#This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21" t="str">
        <f>IFERROR(VLOOKUP(March[[#This Row],[Drug Name7]],'Data Options'!$R$1:$S$100,2,FALSE), " ")</f>
        <v xml:space="preserve"> </v>
      </c>
      <c r="AZ57" s="32"/>
      <c r="BA57" s="32"/>
      <c r="BB57" s="53"/>
      <c r="BC57" s="21" t="str">
        <f>IFERROR(VLOOKUP(March[[#This Row],[Drug Name8]],'Data Options'!$R$1:$S$100,2,FALSE), " ")</f>
        <v xml:space="preserve"> </v>
      </c>
      <c r="BD57" s="32"/>
      <c r="BE57" s="32"/>
      <c r="BF57" s="53"/>
      <c r="BG57" s="21" t="str">
        <f>IFERROR(VLOOKUP(March[[#This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21" t="str">
        <f>IFERROR(VLOOKUP(March[[#This Row],[Drug Name]],'Data Options'!$R$1:$S$100,2,FALSE), " ")</f>
        <v xml:space="preserve"> </v>
      </c>
      <c r="R58" s="32"/>
      <c r="S58" s="32"/>
      <c r="T58" s="53"/>
      <c r="U58" s="21" t="str">
        <f>IFERROR(VLOOKUP(March[[#This Row],[Drug Name2]],'Data Options'!$R$1:$S$100,2,FALSE), " ")</f>
        <v xml:space="preserve"> </v>
      </c>
      <c r="V58" s="32"/>
      <c r="W58" s="32"/>
      <c r="X58" s="53"/>
      <c r="Y58" s="21" t="str">
        <f>IFERROR(VLOOKUP(March[[#This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21" t="str">
        <f>IFERROR(VLOOKUP(March[[#This Row],[Drug Name4]],'Data Options'!$R$1:$S$100,2,FALSE), " ")</f>
        <v xml:space="preserve"> </v>
      </c>
      <c r="AI58" s="32"/>
      <c r="AJ58" s="32"/>
      <c r="AK58" s="53"/>
      <c r="AL58" s="21" t="str">
        <f>IFERROR(VLOOKUP(March[[#This Row],[Drug Name5]],'Data Options'!$R$1:$S$100,2,FALSE), " ")</f>
        <v xml:space="preserve"> </v>
      </c>
      <c r="AM58" s="32"/>
      <c r="AN58" s="32"/>
      <c r="AO58" s="53"/>
      <c r="AP58" s="21" t="str">
        <f>IFERROR(VLOOKUP(March[[#This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21" t="str">
        <f>IFERROR(VLOOKUP(March[[#This Row],[Drug Name7]],'Data Options'!$R$1:$S$100,2,FALSE), " ")</f>
        <v xml:space="preserve"> </v>
      </c>
      <c r="AZ58" s="32"/>
      <c r="BA58" s="32"/>
      <c r="BB58" s="53"/>
      <c r="BC58" s="21" t="str">
        <f>IFERROR(VLOOKUP(March[[#This Row],[Drug Name8]],'Data Options'!$R$1:$S$100,2,FALSE), " ")</f>
        <v xml:space="preserve"> </v>
      </c>
      <c r="BD58" s="32"/>
      <c r="BE58" s="32"/>
      <c r="BF58" s="53"/>
      <c r="BG58" s="21" t="str">
        <f>IFERROR(VLOOKUP(March[[#This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21" t="str">
        <f>IFERROR(VLOOKUP(March[[#This Row],[Drug Name]],'Data Options'!$R$1:$S$100,2,FALSE), " ")</f>
        <v xml:space="preserve"> </v>
      </c>
      <c r="R59" s="32"/>
      <c r="S59" s="32"/>
      <c r="T59" s="53"/>
      <c r="U59" s="21" t="str">
        <f>IFERROR(VLOOKUP(March[[#This Row],[Drug Name2]],'Data Options'!$R$1:$S$100,2,FALSE), " ")</f>
        <v xml:space="preserve"> </v>
      </c>
      <c r="V59" s="32"/>
      <c r="W59" s="32"/>
      <c r="X59" s="53"/>
      <c r="Y59" s="21" t="str">
        <f>IFERROR(VLOOKUP(March[[#This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21" t="str">
        <f>IFERROR(VLOOKUP(March[[#This Row],[Drug Name4]],'Data Options'!$R$1:$S$100,2,FALSE), " ")</f>
        <v xml:space="preserve"> </v>
      </c>
      <c r="AI59" s="32"/>
      <c r="AJ59" s="32"/>
      <c r="AK59" s="53"/>
      <c r="AL59" s="21" t="str">
        <f>IFERROR(VLOOKUP(March[[#This Row],[Drug Name5]],'Data Options'!$R$1:$S$100,2,FALSE), " ")</f>
        <v xml:space="preserve"> </v>
      </c>
      <c r="AM59" s="32"/>
      <c r="AN59" s="32"/>
      <c r="AO59" s="53"/>
      <c r="AP59" s="21" t="str">
        <f>IFERROR(VLOOKUP(March[[#This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21" t="str">
        <f>IFERROR(VLOOKUP(March[[#This Row],[Drug Name7]],'Data Options'!$R$1:$S$100,2,FALSE), " ")</f>
        <v xml:space="preserve"> </v>
      </c>
      <c r="AZ59" s="32"/>
      <c r="BA59" s="32"/>
      <c r="BB59" s="53"/>
      <c r="BC59" s="21" t="str">
        <f>IFERROR(VLOOKUP(March[[#This Row],[Drug Name8]],'Data Options'!$R$1:$S$100,2,FALSE), " ")</f>
        <v xml:space="preserve"> </v>
      </c>
      <c r="BD59" s="32"/>
      <c r="BE59" s="32"/>
      <c r="BF59" s="53"/>
      <c r="BG59" s="21" t="str">
        <f>IFERROR(VLOOKUP(March[[#This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21" t="str">
        <f>IFERROR(VLOOKUP(March[[#This Row],[Drug Name]],'Data Options'!$R$1:$S$100,2,FALSE), " ")</f>
        <v xml:space="preserve"> </v>
      </c>
      <c r="R60" s="32"/>
      <c r="S60" s="32"/>
      <c r="T60" s="53"/>
      <c r="U60" s="21" t="str">
        <f>IFERROR(VLOOKUP(March[[#This Row],[Drug Name2]],'Data Options'!$R$1:$S$100,2,FALSE), " ")</f>
        <v xml:space="preserve"> </v>
      </c>
      <c r="V60" s="32"/>
      <c r="W60" s="32"/>
      <c r="X60" s="53"/>
      <c r="Y60" s="21" t="str">
        <f>IFERROR(VLOOKUP(March[[#This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21" t="str">
        <f>IFERROR(VLOOKUP(March[[#This Row],[Drug Name4]],'Data Options'!$R$1:$S$100,2,FALSE), " ")</f>
        <v xml:space="preserve"> </v>
      </c>
      <c r="AI60" s="32"/>
      <c r="AJ60" s="32"/>
      <c r="AK60" s="53"/>
      <c r="AL60" s="21" t="str">
        <f>IFERROR(VLOOKUP(March[[#This Row],[Drug Name5]],'Data Options'!$R$1:$S$100,2,FALSE), " ")</f>
        <v xml:space="preserve"> </v>
      </c>
      <c r="AM60" s="32"/>
      <c r="AN60" s="32"/>
      <c r="AO60" s="53"/>
      <c r="AP60" s="21" t="str">
        <f>IFERROR(VLOOKUP(March[[#This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21" t="str">
        <f>IFERROR(VLOOKUP(March[[#This Row],[Drug Name7]],'Data Options'!$R$1:$S$100,2,FALSE), " ")</f>
        <v xml:space="preserve"> </v>
      </c>
      <c r="AZ60" s="32"/>
      <c r="BA60" s="32"/>
      <c r="BB60" s="53"/>
      <c r="BC60" s="21" t="str">
        <f>IFERROR(VLOOKUP(March[[#This Row],[Drug Name8]],'Data Options'!$R$1:$S$100,2,FALSE), " ")</f>
        <v xml:space="preserve"> </v>
      </c>
      <c r="BD60" s="32"/>
      <c r="BE60" s="32"/>
      <c r="BF60" s="53"/>
      <c r="BG60" s="21" t="str">
        <f>IFERROR(VLOOKUP(March[[#This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21" t="str">
        <f>IFERROR(VLOOKUP(March[[#This Row],[Drug Name]],'Data Options'!$R$1:$S$100,2,FALSE), " ")</f>
        <v xml:space="preserve"> </v>
      </c>
      <c r="R61" s="32"/>
      <c r="S61" s="32"/>
      <c r="T61" s="53"/>
      <c r="U61" s="21" t="str">
        <f>IFERROR(VLOOKUP(March[[#This Row],[Drug Name2]],'Data Options'!$R$1:$S$100,2,FALSE), " ")</f>
        <v xml:space="preserve"> </v>
      </c>
      <c r="V61" s="32"/>
      <c r="W61" s="32"/>
      <c r="X61" s="53"/>
      <c r="Y61" s="21" t="str">
        <f>IFERROR(VLOOKUP(March[[#This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21" t="str">
        <f>IFERROR(VLOOKUP(March[[#This Row],[Drug Name4]],'Data Options'!$R$1:$S$100,2,FALSE), " ")</f>
        <v xml:space="preserve"> </v>
      </c>
      <c r="AI61" s="32"/>
      <c r="AJ61" s="32"/>
      <c r="AK61" s="53"/>
      <c r="AL61" s="21" t="str">
        <f>IFERROR(VLOOKUP(March[[#This Row],[Drug Name5]],'Data Options'!$R$1:$S$100,2,FALSE), " ")</f>
        <v xml:space="preserve"> </v>
      </c>
      <c r="AM61" s="32"/>
      <c r="AN61" s="32"/>
      <c r="AO61" s="53"/>
      <c r="AP61" s="21" t="str">
        <f>IFERROR(VLOOKUP(March[[#This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21" t="str">
        <f>IFERROR(VLOOKUP(March[[#This Row],[Drug Name7]],'Data Options'!$R$1:$S$100,2,FALSE), " ")</f>
        <v xml:space="preserve"> </v>
      </c>
      <c r="AZ61" s="32"/>
      <c r="BA61" s="32"/>
      <c r="BB61" s="53"/>
      <c r="BC61" s="21" t="str">
        <f>IFERROR(VLOOKUP(March[[#This Row],[Drug Name8]],'Data Options'!$R$1:$S$100,2,FALSE), " ")</f>
        <v xml:space="preserve"> </v>
      </c>
      <c r="BD61" s="32"/>
      <c r="BE61" s="32"/>
      <c r="BF61" s="53"/>
      <c r="BG61" s="21" t="str">
        <f>IFERROR(VLOOKUP(March[[#This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21" t="str">
        <f>IFERROR(VLOOKUP(March[[#This Row],[Drug Name]],'Data Options'!$R$1:$S$100,2,FALSE), " ")</f>
        <v xml:space="preserve"> </v>
      </c>
      <c r="R62" s="32"/>
      <c r="S62" s="32"/>
      <c r="T62" s="53"/>
      <c r="U62" s="21" t="str">
        <f>IFERROR(VLOOKUP(March[[#This Row],[Drug Name2]],'Data Options'!$R$1:$S$100,2,FALSE), " ")</f>
        <v xml:space="preserve"> </v>
      </c>
      <c r="V62" s="32"/>
      <c r="W62" s="32"/>
      <c r="X62" s="53"/>
      <c r="Y62" s="21" t="str">
        <f>IFERROR(VLOOKUP(March[[#This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21" t="str">
        <f>IFERROR(VLOOKUP(March[[#This Row],[Drug Name4]],'Data Options'!$R$1:$S$100,2,FALSE), " ")</f>
        <v xml:space="preserve"> </v>
      </c>
      <c r="AI62" s="32"/>
      <c r="AJ62" s="32"/>
      <c r="AK62" s="53"/>
      <c r="AL62" s="21" t="str">
        <f>IFERROR(VLOOKUP(March[[#This Row],[Drug Name5]],'Data Options'!$R$1:$S$100,2,FALSE), " ")</f>
        <v xml:space="preserve"> </v>
      </c>
      <c r="AM62" s="32"/>
      <c r="AN62" s="32"/>
      <c r="AO62" s="53"/>
      <c r="AP62" s="21" t="str">
        <f>IFERROR(VLOOKUP(March[[#This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21" t="str">
        <f>IFERROR(VLOOKUP(March[[#This Row],[Drug Name7]],'Data Options'!$R$1:$S$100,2,FALSE), " ")</f>
        <v xml:space="preserve"> </v>
      </c>
      <c r="AZ62" s="32"/>
      <c r="BA62" s="32"/>
      <c r="BB62" s="53"/>
      <c r="BC62" s="21" t="str">
        <f>IFERROR(VLOOKUP(March[[#This Row],[Drug Name8]],'Data Options'!$R$1:$S$100,2,FALSE), " ")</f>
        <v xml:space="preserve"> </v>
      </c>
      <c r="BD62" s="32"/>
      <c r="BE62" s="32"/>
      <c r="BF62" s="53"/>
      <c r="BG62" s="21" t="str">
        <f>IFERROR(VLOOKUP(March[[#This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21" t="str">
        <f>IFERROR(VLOOKUP(March[[#This Row],[Drug Name]],'Data Options'!$R$1:$S$100,2,FALSE), " ")</f>
        <v xml:space="preserve"> </v>
      </c>
      <c r="R63" s="32"/>
      <c r="S63" s="32"/>
      <c r="T63" s="53"/>
      <c r="U63" s="21" t="str">
        <f>IFERROR(VLOOKUP(March[[#This Row],[Drug Name2]],'Data Options'!$R$1:$S$100,2,FALSE), " ")</f>
        <v xml:space="preserve"> </v>
      </c>
      <c r="V63" s="32"/>
      <c r="W63" s="32"/>
      <c r="X63" s="53"/>
      <c r="Y63" s="21" t="str">
        <f>IFERROR(VLOOKUP(March[[#This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21" t="str">
        <f>IFERROR(VLOOKUP(March[[#This Row],[Drug Name4]],'Data Options'!$R$1:$S$100,2,FALSE), " ")</f>
        <v xml:space="preserve"> </v>
      </c>
      <c r="AI63" s="32"/>
      <c r="AJ63" s="32"/>
      <c r="AK63" s="53"/>
      <c r="AL63" s="21" t="str">
        <f>IFERROR(VLOOKUP(March[[#This Row],[Drug Name5]],'Data Options'!$R$1:$S$100,2,FALSE), " ")</f>
        <v xml:space="preserve"> </v>
      </c>
      <c r="AM63" s="32"/>
      <c r="AN63" s="32"/>
      <c r="AO63" s="53"/>
      <c r="AP63" s="21" t="str">
        <f>IFERROR(VLOOKUP(March[[#This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21" t="str">
        <f>IFERROR(VLOOKUP(March[[#This Row],[Drug Name7]],'Data Options'!$R$1:$S$100,2,FALSE), " ")</f>
        <v xml:space="preserve"> </v>
      </c>
      <c r="AZ63" s="32"/>
      <c r="BA63" s="32"/>
      <c r="BB63" s="53"/>
      <c r="BC63" s="21" t="str">
        <f>IFERROR(VLOOKUP(March[[#This Row],[Drug Name8]],'Data Options'!$R$1:$S$100,2,FALSE), " ")</f>
        <v xml:space="preserve"> </v>
      </c>
      <c r="BD63" s="32"/>
      <c r="BE63" s="32"/>
      <c r="BF63" s="53"/>
      <c r="BG63" s="21" t="str">
        <f>IFERROR(VLOOKUP(March[[#This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21" t="str">
        <f>IFERROR(VLOOKUP(March[[#This Row],[Drug Name]],'Data Options'!$R$1:$S$100,2,FALSE), " ")</f>
        <v xml:space="preserve"> </v>
      </c>
      <c r="R64" s="32"/>
      <c r="S64" s="32"/>
      <c r="T64" s="53"/>
      <c r="U64" s="21" t="str">
        <f>IFERROR(VLOOKUP(March[[#This Row],[Drug Name2]],'Data Options'!$R$1:$S$100,2,FALSE), " ")</f>
        <v xml:space="preserve"> </v>
      </c>
      <c r="V64" s="32"/>
      <c r="W64" s="32"/>
      <c r="X64" s="53"/>
      <c r="Y64" s="21" t="str">
        <f>IFERROR(VLOOKUP(March[[#This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21" t="str">
        <f>IFERROR(VLOOKUP(March[[#This Row],[Drug Name4]],'Data Options'!$R$1:$S$100,2,FALSE), " ")</f>
        <v xml:space="preserve"> </v>
      </c>
      <c r="AI64" s="32"/>
      <c r="AJ64" s="32"/>
      <c r="AK64" s="53"/>
      <c r="AL64" s="21" t="str">
        <f>IFERROR(VLOOKUP(March[[#This Row],[Drug Name5]],'Data Options'!$R$1:$S$100,2,FALSE), " ")</f>
        <v xml:space="preserve"> </v>
      </c>
      <c r="AM64" s="32"/>
      <c r="AN64" s="32"/>
      <c r="AO64" s="53"/>
      <c r="AP64" s="21" t="str">
        <f>IFERROR(VLOOKUP(March[[#This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21" t="str">
        <f>IFERROR(VLOOKUP(March[[#This Row],[Drug Name7]],'Data Options'!$R$1:$S$100,2,FALSE), " ")</f>
        <v xml:space="preserve"> </v>
      </c>
      <c r="AZ64" s="32"/>
      <c r="BA64" s="32"/>
      <c r="BB64" s="53"/>
      <c r="BC64" s="21" t="str">
        <f>IFERROR(VLOOKUP(March[[#This Row],[Drug Name8]],'Data Options'!$R$1:$S$100,2,FALSE), " ")</f>
        <v xml:space="preserve"> </v>
      </c>
      <c r="BD64" s="32"/>
      <c r="BE64" s="32"/>
      <c r="BF64" s="53"/>
      <c r="BG64" s="21" t="str">
        <f>IFERROR(VLOOKUP(March[[#This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21" t="str">
        <f>IFERROR(VLOOKUP(March[[#This Row],[Drug Name]],'Data Options'!$R$1:$S$100,2,FALSE), " ")</f>
        <v xml:space="preserve"> </v>
      </c>
      <c r="R65" s="32"/>
      <c r="S65" s="32"/>
      <c r="T65" s="53"/>
      <c r="U65" s="21" t="str">
        <f>IFERROR(VLOOKUP(March[[#This Row],[Drug Name2]],'Data Options'!$R$1:$S$100,2,FALSE), " ")</f>
        <v xml:space="preserve"> </v>
      </c>
      <c r="V65" s="32"/>
      <c r="W65" s="32"/>
      <c r="X65" s="53"/>
      <c r="Y65" s="21" t="str">
        <f>IFERROR(VLOOKUP(March[[#This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21" t="str">
        <f>IFERROR(VLOOKUP(March[[#This Row],[Drug Name4]],'Data Options'!$R$1:$S$100,2,FALSE), " ")</f>
        <v xml:space="preserve"> </v>
      </c>
      <c r="AI65" s="32"/>
      <c r="AJ65" s="32"/>
      <c r="AK65" s="53"/>
      <c r="AL65" s="21" t="str">
        <f>IFERROR(VLOOKUP(March[[#This Row],[Drug Name5]],'Data Options'!$R$1:$S$100,2,FALSE), " ")</f>
        <v xml:space="preserve"> </v>
      </c>
      <c r="AM65" s="32"/>
      <c r="AN65" s="32"/>
      <c r="AO65" s="53"/>
      <c r="AP65" s="21" t="str">
        <f>IFERROR(VLOOKUP(March[[#This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21" t="str">
        <f>IFERROR(VLOOKUP(March[[#This Row],[Drug Name7]],'Data Options'!$R$1:$S$100,2,FALSE), " ")</f>
        <v xml:space="preserve"> </v>
      </c>
      <c r="AZ65" s="32"/>
      <c r="BA65" s="32"/>
      <c r="BB65" s="53"/>
      <c r="BC65" s="21" t="str">
        <f>IFERROR(VLOOKUP(March[[#This Row],[Drug Name8]],'Data Options'!$R$1:$S$100,2,FALSE), " ")</f>
        <v xml:space="preserve"> </v>
      </c>
      <c r="BD65" s="32"/>
      <c r="BE65" s="32"/>
      <c r="BF65" s="53"/>
      <c r="BG65" s="21" t="str">
        <f>IFERROR(VLOOKUP(March[[#This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21" t="str">
        <f>IFERROR(VLOOKUP(March[[#This Row],[Drug Name]],'Data Options'!$R$1:$S$100,2,FALSE), " ")</f>
        <v xml:space="preserve"> </v>
      </c>
      <c r="R66" s="32"/>
      <c r="S66" s="32"/>
      <c r="T66" s="53"/>
      <c r="U66" s="21" t="str">
        <f>IFERROR(VLOOKUP(March[[#This Row],[Drug Name2]],'Data Options'!$R$1:$S$100,2,FALSE), " ")</f>
        <v xml:space="preserve"> </v>
      </c>
      <c r="V66" s="32"/>
      <c r="W66" s="32"/>
      <c r="X66" s="53"/>
      <c r="Y66" s="21" t="str">
        <f>IFERROR(VLOOKUP(March[[#This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21" t="str">
        <f>IFERROR(VLOOKUP(March[[#This Row],[Drug Name4]],'Data Options'!$R$1:$S$100,2,FALSE), " ")</f>
        <v xml:space="preserve"> </v>
      </c>
      <c r="AI66" s="32"/>
      <c r="AJ66" s="32"/>
      <c r="AK66" s="53"/>
      <c r="AL66" s="21" t="str">
        <f>IFERROR(VLOOKUP(March[[#This Row],[Drug Name5]],'Data Options'!$R$1:$S$100,2,FALSE), " ")</f>
        <v xml:space="preserve"> </v>
      </c>
      <c r="AM66" s="32"/>
      <c r="AN66" s="32"/>
      <c r="AO66" s="53"/>
      <c r="AP66" s="21" t="str">
        <f>IFERROR(VLOOKUP(March[[#This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21" t="str">
        <f>IFERROR(VLOOKUP(March[[#This Row],[Drug Name7]],'Data Options'!$R$1:$S$100,2,FALSE), " ")</f>
        <v xml:space="preserve"> </v>
      </c>
      <c r="AZ66" s="32"/>
      <c r="BA66" s="32"/>
      <c r="BB66" s="53"/>
      <c r="BC66" s="21" t="str">
        <f>IFERROR(VLOOKUP(March[[#This Row],[Drug Name8]],'Data Options'!$R$1:$S$100,2,FALSE), " ")</f>
        <v xml:space="preserve"> </v>
      </c>
      <c r="BD66" s="32"/>
      <c r="BE66" s="32"/>
      <c r="BF66" s="53"/>
      <c r="BG66" s="21" t="str">
        <f>IFERROR(VLOOKUP(March[[#This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21" t="str">
        <f>IFERROR(VLOOKUP(March[[#This Row],[Drug Name]],'Data Options'!$R$1:$S$100,2,FALSE), " ")</f>
        <v xml:space="preserve"> </v>
      </c>
      <c r="R67" s="32"/>
      <c r="S67" s="32"/>
      <c r="T67" s="53"/>
      <c r="U67" s="21" t="str">
        <f>IFERROR(VLOOKUP(March[[#This Row],[Drug Name2]],'Data Options'!$R$1:$S$100,2,FALSE), " ")</f>
        <v xml:space="preserve"> </v>
      </c>
      <c r="V67" s="32"/>
      <c r="W67" s="32"/>
      <c r="X67" s="53"/>
      <c r="Y67" s="21" t="str">
        <f>IFERROR(VLOOKUP(March[[#This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21" t="str">
        <f>IFERROR(VLOOKUP(March[[#This Row],[Drug Name4]],'Data Options'!$R$1:$S$100,2,FALSE), " ")</f>
        <v xml:space="preserve"> </v>
      </c>
      <c r="AI67" s="32"/>
      <c r="AJ67" s="32"/>
      <c r="AK67" s="53"/>
      <c r="AL67" s="21" t="str">
        <f>IFERROR(VLOOKUP(March[[#This Row],[Drug Name5]],'Data Options'!$R$1:$S$100,2,FALSE), " ")</f>
        <v xml:space="preserve"> </v>
      </c>
      <c r="AM67" s="32"/>
      <c r="AN67" s="32"/>
      <c r="AO67" s="53"/>
      <c r="AP67" s="21" t="str">
        <f>IFERROR(VLOOKUP(March[[#This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21" t="str">
        <f>IFERROR(VLOOKUP(March[[#This Row],[Drug Name7]],'Data Options'!$R$1:$S$100,2,FALSE), " ")</f>
        <v xml:space="preserve"> </v>
      </c>
      <c r="AZ67" s="32"/>
      <c r="BA67" s="32"/>
      <c r="BB67" s="53"/>
      <c r="BC67" s="21" t="str">
        <f>IFERROR(VLOOKUP(March[[#This Row],[Drug Name8]],'Data Options'!$R$1:$S$100,2,FALSE), " ")</f>
        <v xml:space="preserve"> </v>
      </c>
      <c r="BD67" s="32"/>
      <c r="BE67" s="32"/>
      <c r="BF67" s="53"/>
      <c r="BG67" s="21" t="str">
        <f>IFERROR(VLOOKUP(March[[#This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21" t="str">
        <f>IFERROR(VLOOKUP(March[[#This Row],[Drug Name]],'Data Options'!$R$1:$S$100,2,FALSE), " ")</f>
        <v xml:space="preserve"> </v>
      </c>
      <c r="R68" s="32"/>
      <c r="S68" s="32"/>
      <c r="T68" s="53"/>
      <c r="U68" s="21" t="str">
        <f>IFERROR(VLOOKUP(March[[#This Row],[Drug Name2]],'Data Options'!$R$1:$S$100,2,FALSE), " ")</f>
        <v xml:space="preserve"> </v>
      </c>
      <c r="V68" s="32"/>
      <c r="W68" s="32"/>
      <c r="X68" s="53"/>
      <c r="Y68" s="21" t="str">
        <f>IFERROR(VLOOKUP(March[[#This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21" t="str">
        <f>IFERROR(VLOOKUP(March[[#This Row],[Drug Name4]],'Data Options'!$R$1:$S$100,2,FALSE), " ")</f>
        <v xml:space="preserve"> </v>
      </c>
      <c r="AI68" s="32"/>
      <c r="AJ68" s="32"/>
      <c r="AK68" s="53"/>
      <c r="AL68" s="21" t="str">
        <f>IFERROR(VLOOKUP(March[[#This Row],[Drug Name5]],'Data Options'!$R$1:$S$100,2,FALSE), " ")</f>
        <v xml:space="preserve"> </v>
      </c>
      <c r="AM68" s="32"/>
      <c r="AN68" s="32"/>
      <c r="AO68" s="53"/>
      <c r="AP68" s="21" t="str">
        <f>IFERROR(VLOOKUP(March[[#This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21" t="str">
        <f>IFERROR(VLOOKUP(March[[#This Row],[Drug Name7]],'Data Options'!$R$1:$S$100,2,FALSE), " ")</f>
        <v xml:space="preserve"> </v>
      </c>
      <c r="AZ68" s="32"/>
      <c r="BA68" s="32"/>
      <c r="BB68" s="53"/>
      <c r="BC68" s="21" t="str">
        <f>IFERROR(VLOOKUP(March[[#This Row],[Drug Name8]],'Data Options'!$R$1:$S$100,2,FALSE), " ")</f>
        <v xml:space="preserve"> </v>
      </c>
      <c r="BD68" s="32"/>
      <c r="BE68" s="32"/>
      <c r="BF68" s="53"/>
      <c r="BG68" s="21" t="str">
        <f>IFERROR(VLOOKUP(March[[#This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21" t="str">
        <f>IFERROR(VLOOKUP(March[[#This Row],[Drug Name]],'Data Options'!$R$1:$S$100,2,FALSE), " ")</f>
        <v xml:space="preserve"> </v>
      </c>
      <c r="R69" s="32"/>
      <c r="S69" s="32"/>
      <c r="T69" s="53"/>
      <c r="U69" s="21" t="str">
        <f>IFERROR(VLOOKUP(March[[#This Row],[Drug Name2]],'Data Options'!$R$1:$S$100,2,FALSE), " ")</f>
        <v xml:space="preserve"> </v>
      </c>
      <c r="V69" s="32"/>
      <c r="W69" s="32"/>
      <c r="X69" s="53"/>
      <c r="Y69" s="21" t="str">
        <f>IFERROR(VLOOKUP(March[[#This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21" t="str">
        <f>IFERROR(VLOOKUP(March[[#This Row],[Drug Name4]],'Data Options'!$R$1:$S$100,2,FALSE), " ")</f>
        <v xml:space="preserve"> </v>
      </c>
      <c r="AI69" s="32"/>
      <c r="AJ69" s="32"/>
      <c r="AK69" s="53"/>
      <c r="AL69" s="21" t="str">
        <f>IFERROR(VLOOKUP(March[[#This Row],[Drug Name5]],'Data Options'!$R$1:$S$100,2,FALSE), " ")</f>
        <v xml:space="preserve"> </v>
      </c>
      <c r="AM69" s="32"/>
      <c r="AN69" s="32"/>
      <c r="AO69" s="53"/>
      <c r="AP69" s="21" t="str">
        <f>IFERROR(VLOOKUP(March[[#This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21" t="str">
        <f>IFERROR(VLOOKUP(March[[#This Row],[Drug Name7]],'Data Options'!$R$1:$S$100,2,FALSE), " ")</f>
        <v xml:space="preserve"> </v>
      </c>
      <c r="AZ69" s="32"/>
      <c r="BA69" s="32"/>
      <c r="BB69" s="53"/>
      <c r="BC69" s="21" t="str">
        <f>IFERROR(VLOOKUP(March[[#This Row],[Drug Name8]],'Data Options'!$R$1:$S$100,2,FALSE), " ")</f>
        <v xml:space="preserve"> </v>
      </c>
      <c r="BD69" s="32"/>
      <c r="BE69" s="32"/>
      <c r="BF69" s="53"/>
      <c r="BG69" s="21" t="str">
        <f>IFERROR(VLOOKUP(March[[#This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21" t="str">
        <f>IFERROR(VLOOKUP(March[[#This Row],[Drug Name]],'Data Options'!$R$1:$S$100,2,FALSE), " ")</f>
        <v xml:space="preserve"> </v>
      </c>
      <c r="R70" s="32"/>
      <c r="S70" s="32"/>
      <c r="T70" s="53"/>
      <c r="U70" s="21" t="str">
        <f>IFERROR(VLOOKUP(March[[#This Row],[Drug Name2]],'Data Options'!$R$1:$S$100,2,FALSE), " ")</f>
        <v xml:space="preserve"> </v>
      </c>
      <c r="V70" s="32"/>
      <c r="W70" s="32"/>
      <c r="X70" s="53"/>
      <c r="Y70" s="21" t="str">
        <f>IFERROR(VLOOKUP(March[[#This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21" t="str">
        <f>IFERROR(VLOOKUP(March[[#This Row],[Drug Name4]],'Data Options'!$R$1:$S$100,2,FALSE), " ")</f>
        <v xml:space="preserve"> </v>
      </c>
      <c r="AI70" s="32"/>
      <c r="AJ70" s="32"/>
      <c r="AK70" s="53"/>
      <c r="AL70" s="21" t="str">
        <f>IFERROR(VLOOKUP(March[[#This Row],[Drug Name5]],'Data Options'!$R$1:$S$100,2,FALSE), " ")</f>
        <v xml:space="preserve"> </v>
      </c>
      <c r="AM70" s="32"/>
      <c r="AN70" s="32"/>
      <c r="AO70" s="53"/>
      <c r="AP70" s="21" t="str">
        <f>IFERROR(VLOOKUP(March[[#This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21" t="str">
        <f>IFERROR(VLOOKUP(March[[#This Row],[Drug Name7]],'Data Options'!$R$1:$S$100,2,FALSE), " ")</f>
        <v xml:space="preserve"> </v>
      </c>
      <c r="AZ70" s="32"/>
      <c r="BA70" s="32"/>
      <c r="BB70" s="53"/>
      <c r="BC70" s="21" t="str">
        <f>IFERROR(VLOOKUP(March[[#This Row],[Drug Name8]],'Data Options'!$R$1:$S$100,2,FALSE), " ")</f>
        <v xml:space="preserve"> </v>
      </c>
      <c r="BD70" s="32"/>
      <c r="BE70" s="32"/>
      <c r="BF70" s="53"/>
      <c r="BG70" s="21" t="str">
        <f>IFERROR(VLOOKUP(March[[#This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21" t="str">
        <f>IFERROR(VLOOKUP(March[[#This Row],[Drug Name]],'Data Options'!$R$1:$S$100,2,FALSE), " ")</f>
        <v xml:space="preserve"> </v>
      </c>
      <c r="R71" s="32"/>
      <c r="S71" s="32"/>
      <c r="T71" s="53"/>
      <c r="U71" s="21" t="str">
        <f>IFERROR(VLOOKUP(March[[#This Row],[Drug Name2]],'Data Options'!$R$1:$S$100,2,FALSE), " ")</f>
        <v xml:space="preserve"> </v>
      </c>
      <c r="V71" s="32"/>
      <c r="W71" s="32"/>
      <c r="X71" s="53"/>
      <c r="Y71" s="21" t="str">
        <f>IFERROR(VLOOKUP(March[[#This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21" t="str">
        <f>IFERROR(VLOOKUP(March[[#This Row],[Drug Name4]],'Data Options'!$R$1:$S$100,2,FALSE), " ")</f>
        <v xml:space="preserve"> </v>
      </c>
      <c r="AI71" s="32"/>
      <c r="AJ71" s="32"/>
      <c r="AK71" s="53"/>
      <c r="AL71" s="21" t="str">
        <f>IFERROR(VLOOKUP(March[[#This Row],[Drug Name5]],'Data Options'!$R$1:$S$100,2,FALSE), " ")</f>
        <v xml:space="preserve"> </v>
      </c>
      <c r="AM71" s="32"/>
      <c r="AN71" s="32"/>
      <c r="AO71" s="53"/>
      <c r="AP71" s="21" t="str">
        <f>IFERROR(VLOOKUP(March[[#This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21" t="str">
        <f>IFERROR(VLOOKUP(March[[#This Row],[Drug Name7]],'Data Options'!$R$1:$S$100,2,FALSE), " ")</f>
        <v xml:space="preserve"> </v>
      </c>
      <c r="AZ71" s="32"/>
      <c r="BA71" s="32"/>
      <c r="BB71" s="53"/>
      <c r="BC71" s="21" t="str">
        <f>IFERROR(VLOOKUP(March[[#This Row],[Drug Name8]],'Data Options'!$R$1:$S$100,2,FALSE), " ")</f>
        <v xml:space="preserve"> </v>
      </c>
      <c r="BD71" s="32"/>
      <c r="BE71" s="32"/>
      <c r="BF71" s="53"/>
      <c r="BG71" s="21" t="str">
        <f>IFERROR(VLOOKUP(March[[#This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21" t="str">
        <f>IFERROR(VLOOKUP(March[[#This Row],[Drug Name]],'Data Options'!$R$1:$S$100,2,FALSE), " ")</f>
        <v xml:space="preserve"> </v>
      </c>
      <c r="R72" s="32"/>
      <c r="S72" s="32"/>
      <c r="T72" s="53"/>
      <c r="U72" s="21" t="str">
        <f>IFERROR(VLOOKUP(March[[#This Row],[Drug Name2]],'Data Options'!$R$1:$S$100,2,FALSE), " ")</f>
        <v xml:space="preserve"> </v>
      </c>
      <c r="V72" s="32"/>
      <c r="W72" s="32"/>
      <c r="X72" s="53"/>
      <c r="Y72" s="21" t="str">
        <f>IFERROR(VLOOKUP(March[[#This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21" t="str">
        <f>IFERROR(VLOOKUP(March[[#This Row],[Drug Name4]],'Data Options'!$R$1:$S$100,2,FALSE), " ")</f>
        <v xml:space="preserve"> </v>
      </c>
      <c r="AI72" s="32"/>
      <c r="AJ72" s="32"/>
      <c r="AK72" s="53"/>
      <c r="AL72" s="21" t="str">
        <f>IFERROR(VLOOKUP(March[[#This Row],[Drug Name5]],'Data Options'!$R$1:$S$100,2,FALSE), " ")</f>
        <v xml:space="preserve"> </v>
      </c>
      <c r="AM72" s="32"/>
      <c r="AN72" s="32"/>
      <c r="AO72" s="53"/>
      <c r="AP72" s="21" t="str">
        <f>IFERROR(VLOOKUP(March[[#This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21" t="str">
        <f>IFERROR(VLOOKUP(March[[#This Row],[Drug Name7]],'Data Options'!$R$1:$S$100,2,FALSE), " ")</f>
        <v xml:space="preserve"> </v>
      </c>
      <c r="AZ72" s="32"/>
      <c r="BA72" s="32"/>
      <c r="BB72" s="53"/>
      <c r="BC72" s="21" t="str">
        <f>IFERROR(VLOOKUP(March[[#This Row],[Drug Name8]],'Data Options'!$R$1:$S$100,2,FALSE), " ")</f>
        <v xml:space="preserve"> </v>
      </c>
      <c r="BD72" s="32"/>
      <c r="BE72" s="32"/>
      <c r="BF72" s="53"/>
      <c r="BG72" s="21" t="str">
        <f>IFERROR(VLOOKUP(March[[#This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21" t="str">
        <f>IFERROR(VLOOKUP(March[[#This Row],[Drug Name]],'Data Options'!$R$1:$S$100,2,FALSE), " ")</f>
        <v xml:space="preserve"> </v>
      </c>
      <c r="R73" s="32"/>
      <c r="S73" s="32"/>
      <c r="T73" s="53"/>
      <c r="U73" s="21" t="str">
        <f>IFERROR(VLOOKUP(March[[#This Row],[Drug Name2]],'Data Options'!$R$1:$S$100,2,FALSE), " ")</f>
        <v xml:space="preserve"> </v>
      </c>
      <c r="V73" s="32"/>
      <c r="W73" s="32"/>
      <c r="X73" s="53"/>
      <c r="Y73" s="21" t="str">
        <f>IFERROR(VLOOKUP(March[[#This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21" t="str">
        <f>IFERROR(VLOOKUP(March[[#This Row],[Drug Name4]],'Data Options'!$R$1:$S$100,2,FALSE), " ")</f>
        <v xml:space="preserve"> </v>
      </c>
      <c r="AI73" s="32"/>
      <c r="AJ73" s="32"/>
      <c r="AK73" s="53"/>
      <c r="AL73" s="21" t="str">
        <f>IFERROR(VLOOKUP(March[[#This Row],[Drug Name5]],'Data Options'!$R$1:$S$100,2,FALSE), " ")</f>
        <v xml:space="preserve"> </v>
      </c>
      <c r="AM73" s="32"/>
      <c r="AN73" s="32"/>
      <c r="AO73" s="53"/>
      <c r="AP73" s="21" t="str">
        <f>IFERROR(VLOOKUP(March[[#This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21" t="str">
        <f>IFERROR(VLOOKUP(March[[#This Row],[Drug Name7]],'Data Options'!$R$1:$S$100,2,FALSE), " ")</f>
        <v xml:space="preserve"> </v>
      </c>
      <c r="AZ73" s="32"/>
      <c r="BA73" s="32"/>
      <c r="BB73" s="53"/>
      <c r="BC73" s="21" t="str">
        <f>IFERROR(VLOOKUP(March[[#This Row],[Drug Name8]],'Data Options'!$R$1:$S$100,2,FALSE), " ")</f>
        <v xml:space="preserve"> </v>
      </c>
      <c r="BD73" s="32"/>
      <c r="BE73" s="32"/>
      <c r="BF73" s="53"/>
      <c r="BG73" s="21" t="str">
        <f>IFERROR(VLOOKUP(March[[#This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21" t="str">
        <f>IFERROR(VLOOKUP(March[[#This Row],[Drug Name]],'Data Options'!$R$1:$S$100,2,FALSE), " ")</f>
        <v xml:space="preserve"> </v>
      </c>
      <c r="R74" s="32"/>
      <c r="S74" s="32"/>
      <c r="T74" s="53"/>
      <c r="U74" s="21" t="str">
        <f>IFERROR(VLOOKUP(March[[#This Row],[Drug Name2]],'Data Options'!$R$1:$S$100,2,FALSE), " ")</f>
        <v xml:space="preserve"> </v>
      </c>
      <c r="V74" s="32"/>
      <c r="W74" s="32"/>
      <c r="X74" s="53"/>
      <c r="Y74" s="21" t="str">
        <f>IFERROR(VLOOKUP(March[[#This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21" t="str">
        <f>IFERROR(VLOOKUP(March[[#This Row],[Drug Name4]],'Data Options'!$R$1:$S$100,2,FALSE), " ")</f>
        <v xml:space="preserve"> </v>
      </c>
      <c r="AI74" s="32"/>
      <c r="AJ74" s="32"/>
      <c r="AK74" s="53"/>
      <c r="AL74" s="21" t="str">
        <f>IFERROR(VLOOKUP(March[[#This Row],[Drug Name5]],'Data Options'!$R$1:$S$100,2,FALSE), " ")</f>
        <v xml:space="preserve"> </v>
      </c>
      <c r="AM74" s="32"/>
      <c r="AN74" s="32"/>
      <c r="AO74" s="53"/>
      <c r="AP74" s="21" t="str">
        <f>IFERROR(VLOOKUP(March[[#This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21" t="str">
        <f>IFERROR(VLOOKUP(March[[#This Row],[Drug Name7]],'Data Options'!$R$1:$S$100,2,FALSE), " ")</f>
        <v xml:space="preserve"> </v>
      </c>
      <c r="AZ74" s="32"/>
      <c r="BA74" s="32"/>
      <c r="BB74" s="53"/>
      <c r="BC74" s="21" t="str">
        <f>IFERROR(VLOOKUP(March[[#This Row],[Drug Name8]],'Data Options'!$R$1:$S$100,2,FALSE), " ")</f>
        <v xml:space="preserve"> </v>
      </c>
      <c r="BD74" s="32"/>
      <c r="BE74" s="32"/>
      <c r="BF74" s="53"/>
      <c r="BG74" s="21" t="str">
        <f>IFERROR(VLOOKUP(March[[#This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21" t="str">
        <f>IFERROR(VLOOKUP(March[[#This Row],[Drug Name]],'Data Options'!$R$1:$S$100,2,FALSE), " ")</f>
        <v xml:space="preserve"> </v>
      </c>
      <c r="R75" s="32"/>
      <c r="S75" s="32"/>
      <c r="T75" s="53"/>
      <c r="U75" s="21" t="str">
        <f>IFERROR(VLOOKUP(March[[#This Row],[Drug Name2]],'Data Options'!$R$1:$S$100,2,FALSE), " ")</f>
        <v xml:space="preserve"> </v>
      </c>
      <c r="V75" s="32"/>
      <c r="W75" s="32"/>
      <c r="X75" s="53"/>
      <c r="Y75" s="21" t="str">
        <f>IFERROR(VLOOKUP(March[[#This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21" t="str">
        <f>IFERROR(VLOOKUP(March[[#This Row],[Drug Name4]],'Data Options'!$R$1:$S$100,2,FALSE), " ")</f>
        <v xml:space="preserve"> </v>
      </c>
      <c r="AI75" s="32"/>
      <c r="AJ75" s="32"/>
      <c r="AK75" s="53"/>
      <c r="AL75" s="21" t="str">
        <f>IFERROR(VLOOKUP(March[[#This Row],[Drug Name5]],'Data Options'!$R$1:$S$100,2,FALSE), " ")</f>
        <v xml:space="preserve"> </v>
      </c>
      <c r="AM75" s="32"/>
      <c r="AN75" s="32"/>
      <c r="AO75" s="53"/>
      <c r="AP75" s="21" t="str">
        <f>IFERROR(VLOOKUP(March[[#This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21" t="str">
        <f>IFERROR(VLOOKUP(March[[#This Row],[Drug Name7]],'Data Options'!$R$1:$S$100,2,FALSE), " ")</f>
        <v xml:space="preserve"> </v>
      </c>
      <c r="AZ75" s="32"/>
      <c r="BA75" s="32"/>
      <c r="BB75" s="53"/>
      <c r="BC75" s="21" t="str">
        <f>IFERROR(VLOOKUP(March[[#This Row],[Drug Name8]],'Data Options'!$R$1:$S$100,2,FALSE), " ")</f>
        <v xml:space="preserve"> </v>
      </c>
      <c r="BD75" s="32"/>
      <c r="BE75" s="32"/>
      <c r="BF75" s="53"/>
      <c r="BG75" s="21" t="str">
        <f>IFERROR(VLOOKUP(March[[#This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21" t="str">
        <f>IFERROR(VLOOKUP(March[[#This Row],[Drug Name]],'Data Options'!$R$1:$S$100,2,FALSE), " ")</f>
        <v xml:space="preserve"> </v>
      </c>
      <c r="R76" s="32"/>
      <c r="S76" s="32"/>
      <c r="T76" s="53"/>
      <c r="U76" s="21" t="str">
        <f>IFERROR(VLOOKUP(March[[#This Row],[Drug Name2]],'Data Options'!$R$1:$S$100,2,FALSE), " ")</f>
        <v xml:space="preserve"> </v>
      </c>
      <c r="V76" s="32"/>
      <c r="W76" s="32"/>
      <c r="X76" s="53"/>
      <c r="Y76" s="21" t="str">
        <f>IFERROR(VLOOKUP(March[[#This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21" t="str">
        <f>IFERROR(VLOOKUP(March[[#This Row],[Drug Name4]],'Data Options'!$R$1:$S$100,2,FALSE), " ")</f>
        <v xml:space="preserve"> </v>
      </c>
      <c r="AI76" s="32"/>
      <c r="AJ76" s="32"/>
      <c r="AK76" s="53"/>
      <c r="AL76" s="21" t="str">
        <f>IFERROR(VLOOKUP(March[[#This Row],[Drug Name5]],'Data Options'!$R$1:$S$100,2,FALSE), " ")</f>
        <v xml:space="preserve"> </v>
      </c>
      <c r="AM76" s="32"/>
      <c r="AN76" s="32"/>
      <c r="AO76" s="53"/>
      <c r="AP76" s="21" t="str">
        <f>IFERROR(VLOOKUP(March[[#This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21" t="str">
        <f>IFERROR(VLOOKUP(March[[#This Row],[Drug Name7]],'Data Options'!$R$1:$S$100,2,FALSE), " ")</f>
        <v xml:space="preserve"> </v>
      </c>
      <c r="AZ76" s="32"/>
      <c r="BA76" s="32"/>
      <c r="BB76" s="53"/>
      <c r="BC76" s="21" t="str">
        <f>IFERROR(VLOOKUP(March[[#This Row],[Drug Name8]],'Data Options'!$R$1:$S$100,2,FALSE), " ")</f>
        <v xml:space="preserve"> </v>
      </c>
      <c r="BD76" s="32"/>
      <c r="BE76" s="32"/>
      <c r="BF76" s="53"/>
      <c r="BG76" s="21" t="str">
        <f>IFERROR(VLOOKUP(March[[#This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21" t="str">
        <f>IFERROR(VLOOKUP(March[[#This Row],[Drug Name]],'Data Options'!$R$1:$S$100,2,FALSE), " ")</f>
        <v xml:space="preserve"> </v>
      </c>
      <c r="R77" s="32"/>
      <c r="S77" s="32"/>
      <c r="T77" s="53"/>
      <c r="U77" s="21" t="str">
        <f>IFERROR(VLOOKUP(March[[#This Row],[Drug Name2]],'Data Options'!$R$1:$S$100,2,FALSE), " ")</f>
        <v xml:space="preserve"> </v>
      </c>
      <c r="V77" s="32"/>
      <c r="W77" s="32"/>
      <c r="X77" s="53"/>
      <c r="Y77" s="21" t="str">
        <f>IFERROR(VLOOKUP(March[[#This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21" t="str">
        <f>IFERROR(VLOOKUP(March[[#This Row],[Drug Name4]],'Data Options'!$R$1:$S$100,2,FALSE), " ")</f>
        <v xml:space="preserve"> </v>
      </c>
      <c r="AI77" s="32"/>
      <c r="AJ77" s="32"/>
      <c r="AK77" s="53"/>
      <c r="AL77" s="21" t="str">
        <f>IFERROR(VLOOKUP(March[[#This Row],[Drug Name5]],'Data Options'!$R$1:$S$100,2,FALSE), " ")</f>
        <v xml:space="preserve"> </v>
      </c>
      <c r="AM77" s="32"/>
      <c r="AN77" s="32"/>
      <c r="AO77" s="53"/>
      <c r="AP77" s="21" t="str">
        <f>IFERROR(VLOOKUP(March[[#This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21" t="str">
        <f>IFERROR(VLOOKUP(March[[#This Row],[Drug Name7]],'Data Options'!$R$1:$S$100,2,FALSE), " ")</f>
        <v xml:space="preserve"> </v>
      </c>
      <c r="AZ77" s="32"/>
      <c r="BA77" s="32"/>
      <c r="BB77" s="53"/>
      <c r="BC77" s="21" t="str">
        <f>IFERROR(VLOOKUP(March[[#This Row],[Drug Name8]],'Data Options'!$R$1:$S$100,2,FALSE), " ")</f>
        <v xml:space="preserve"> </v>
      </c>
      <c r="BD77" s="32"/>
      <c r="BE77" s="32"/>
      <c r="BF77" s="53"/>
      <c r="BG77" s="21" t="str">
        <f>IFERROR(VLOOKUP(March[[#This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21" t="str">
        <f>IFERROR(VLOOKUP(March[[#This Row],[Drug Name]],'Data Options'!$R$1:$S$100,2,FALSE), " ")</f>
        <v xml:space="preserve"> </v>
      </c>
      <c r="R78" s="32"/>
      <c r="S78" s="32"/>
      <c r="T78" s="53"/>
      <c r="U78" s="21" t="str">
        <f>IFERROR(VLOOKUP(March[[#This Row],[Drug Name2]],'Data Options'!$R$1:$S$100,2,FALSE), " ")</f>
        <v xml:space="preserve"> </v>
      </c>
      <c r="V78" s="32"/>
      <c r="W78" s="32"/>
      <c r="X78" s="53"/>
      <c r="Y78" s="21" t="str">
        <f>IFERROR(VLOOKUP(March[[#This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21" t="str">
        <f>IFERROR(VLOOKUP(March[[#This Row],[Drug Name4]],'Data Options'!$R$1:$S$100,2,FALSE), " ")</f>
        <v xml:space="preserve"> </v>
      </c>
      <c r="AI78" s="32"/>
      <c r="AJ78" s="32"/>
      <c r="AK78" s="53"/>
      <c r="AL78" s="21" t="str">
        <f>IFERROR(VLOOKUP(March[[#This Row],[Drug Name5]],'Data Options'!$R$1:$S$100,2,FALSE), " ")</f>
        <v xml:space="preserve"> </v>
      </c>
      <c r="AM78" s="32"/>
      <c r="AN78" s="32"/>
      <c r="AO78" s="53"/>
      <c r="AP78" s="21" t="str">
        <f>IFERROR(VLOOKUP(March[[#This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21" t="str">
        <f>IFERROR(VLOOKUP(March[[#This Row],[Drug Name7]],'Data Options'!$R$1:$S$100,2,FALSE), " ")</f>
        <v xml:space="preserve"> </v>
      </c>
      <c r="AZ78" s="32"/>
      <c r="BA78" s="32"/>
      <c r="BB78" s="53"/>
      <c r="BC78" s="21" t="str">
        <f>IFERROR(VLOOKUP(March[[#This Row],[Drug Name8]],'Data Options'!$R$1:$S$100,2,FALSE), " ")</f>
        <v xml:space="preserve"> </v>
      </c>
      <c r="BD78" s="32"/>
      <c r="BE78" s="32"/>
      <c r="BF78" s="53"/>
      <c r="BG78" s="21" t="str">
        <f>IFERROR(VLOOKUP(March[[#This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21" t="str">
        <f>IFERROR(VLOOKUP(March[[#This Row],[Drug Name]],'Data Options'!$R$1:$S$100,2,FALSE), " ")</f>
        <v xml:space="preserve"> </v>
      </c>
      <c r="R79" s="32"/>
      <c r="S79" s="32"/>
      <c r="T79" s="53"/>
      <c r="U79" s="21" t="str">
        <f>IFERROR(VLOOKUP(March[[#This Row],[Drug Name2]],'Data Options'!$R$1:$S$100,2,FALSE), " ")</f>
        <v xml:space="preserve"> </v>
      </c>
      <c r="V79" s="32"/>
      <c r="W79" s="32"/>
      <c r="X79" s="53"/>
      <c r="Y79" s="21" t="str">
        <f>IFERROR(VLOOKUP(March[[#This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21" t="str">
        <f>IFERROR(VLOOKUP(March[[#This Row],[Drug Name4]],'Data Options'!$R$1:$S$100,2,FALSE), " ")</f>
        <v xml:space="preserve"> </v>
      </c>
      <c r="AI79" s="32"/>
      <c r="AJ79" s="32"/>
      <c r="AK79" s="53"/>
      <c r="AL79" s="21" t="str">
        <f>IFERROR(VLOOKUP(March[[#This Row],[Drug Name5]],'Data Options'!$R$1:$S$100,2,FALSE), " ")</f>
        <v xml:space="preserve"> </v>
      </c>
      <c r="AM79" s="32"/>
      <c r="AN79" s="32"/>
      <c r="AO79" s="53"/>
      <c r="AP79" s="21" t="str">
        <f>IFERROR(VLOOKUP(March[[#This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21" t="str">
        <f>IFERROR(VLOOKUP(March[[#This Row],[Drug Name7]],'Data Options'!$R$1:$S$100,2,FALSE), " ")</f>
        <v xml:space="preserve"> </v>
      </c>
      <c r="AZ79" s="32"/>
      <c r="BA79" s="32"/>
      <c r="BB79" s="53"/>
      <c r="BC79" s="21" t="str">
        <f>IFERROR(VLOOKUP(March[[#This Row],[Drug Name8]],'Data Options'!$R$1:$S$100,2,FALSE), " ")</f>
        <v xml:space="preserve"> </v>
      </c>
      <c r="BD79" s="32"/>
      <c r="BE79" s="32"/>
      <c r="BF79" s="53"/>
      <c r="BG79" s="21" t="str">
        <f>IFERROR(VLOOKUP(March[[#This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21" t="str">
        <f>IFERROR(VLOOKUP(March[[#This Row],[Drug Name]],'Data Options'!$R$1:$S$100,2,FALSE), " ")</f>
        <v xml:space="preserve"> </v>
      </c>
      <c r="R80" s="32"/>
      <c r="S80" s="32"/>
      <c r="T80" s="53"/>
      <c r="U80" s="21" t="str">
        <f>IFERROR(VLOOKUP(March[[#This Row],[Drug Name2]],'Data Options'!$R$1:$S$100,2,FALSE), " ")</f>
        <v xml:space="preserve"> </v>
      </c>
      <c r="V80" s="32"/>
      <c r="W80" s="32"/>
      <c r="X80" s="53"/>
      <c r="Y80" s="21" t="str">
        <f>IFERROR(VLOOKUP(March[[#This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21" t="str">
        <f>IFERROR(VLOOKUP(March[[#This Row],[Drug Name4]],'Data Options'!$R$1:$S$100,2,FALSE), " ")</f>
        <v xml:space="preserve"> </v>
      </c>
      <c r="AI80" s="32"/>
      <c r="AJ80" s="32"/>
      <c r="AK80" s="53"/>
      <c r="AL80" s="21" t="str">
        <f>IFERROR(VLOOKUP(March[[#This Row],[Drug Name5]],'Data Options'!$R$1:$S$100,2,FALSE), " ")</f>
        <v xml:space="preserve"> </v>
      </c>
      <c r="AM80" s="32"/>
      <c r="AN80" s="32"/>
      <c r="AO80" s="53"/>
      <c r="AP80" s="21" t="str">
        <f>IFERROR(VLOOKUP(March[[#This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21" t="str">
        <f>IFERROR(VLOOKUP(March[[#This Row],[Drug Name7]],'Data Options'!$R$1:$S$100,2,FALSE), " ")</f>
        <v xml:space="preserve"> </v>
      </c>
      <c r="AZ80" s="32"/>
      <c r="BA80" s="32"/>
      <c r="BB80" s="53"/>
      <c r="BC80" s="21" t="str">
        <f>IFERROR(VLOOKUP(March[[#This Row],[Drug Name8]],'Data Options'!$R$1:$S$100,2,FALSE), " ")</f>
        <v xml:space="preserve"> </v>
      </c>
      <c r="BD80" s="32"/>
      <c r="BE80" s="32"/>
      <c r="BF80" s="53"/>
      <c r="BG80" s="21" t="str">
        <f>IFERROR(VLOOKUP(March[[#This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21" t="str">
        <f>IFERROR(VLOOKUP(March[[#This Row],[Drug Name]],'Data Options'!$R$1:$S$100,2,FALSE), " ")</f>
        <v xml:space="preserve"> </v>
      </c>
      <c r="R81" s="32"/>
      <c r="S81" s="32"/>
      <c r="T81" s="53"/>
      <c r="U81" s="21" t="str">
        <f>IFERROR(VLOOKUP(March[[#This Row],[Drug Name2]],'Data Options'!$R$1:$S$100,2,FALSE), " ")</f>
        <v xml:space="preserve"> </v>
      </c>
      <c r="V81" s="32"/>
      <c r="W81" s="32"/>
      <c r="X81" s="53"/>
      <c r="Y81" s="21" t="str">
        <f>IFERROR(VLOOKUP(March[[#This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21" t="str">
        <f>IFERROR(VLOOKUP(March[[#This Row],[Drug Name4]],'Data Options'!$R$1:$S$100,2,FALSE), " ")</f>
        <v xml:space="preserve"> </v>
      </c>
      <c r="AI81" s="32"/>
      <c r="AJ81" s="32"/>
      <c r="AK81" s="53"/>
      <c r="AL81" s="21" t="str">
        <f>IFERROR(VLOOKUP(March[[#This Row],[Drug Name5]],'Data Options'!$R$1:$S$100,2,FALSE), " ")</f>
        <v xml:space="preserve"> </v>
      </c>
      <c r="AM81" s="32"/>
      <c r="AN81" s="32"/>
      <c r="AO81" s="53"/>
      <c r="AP81" s="21" t="str">
        <f>IFERROR(VLOOKUP(March[[#This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21" t="str">
        <f>IFERROR(VLOOKUP(March[[#This Row],[Drug Name7]],'Data Options'!$R$1:$S$100,2,FALSE), " ")</f>
        <v xml:space="preserve"> </v>
      </c>
      <c r="AZ81" s="32"/>
      <c r="BA81" s="32"/>
      <c r="BB81" s="53"/>
      <c r="BC81" s="21" t="str">
        <f>IFERROR(VLOOKUP(March[[#This Row],[Drug Name8]],'Data Options'!$R$1:$S$100,2,FALSE), " ")</f>
        <v xml:space="preserve"> </v>
      </c>
      <c r="BD81" s="32"/>
      <c r="BE81" s="32"/>
      <c r="BF81" s="53"/>
      <c r="BG81" s="21" t="str">
        <f>IFERROR(VLOOKUP(March[[#This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21" t="str">
        <f>IFERROR(VLOOKUP(March[[#This Row],[Drug Name]],'Data Options'!$R$1:$S$100,2,FALSE), " ")</f>
        <v xml:space="preserve"> </v>
      </c>
      <c r="R82" s="32"/>
      <c r="S82" s="32"/>
      <c r="T82" s="53"/>
      <c r="U82" s="21" t="str">
        <f>IFERROR(VLOOKUP(March[[#This Row],[Drug Name2]],'Data Options'!$R$1:$S$100,2,FALSE), " ")</f>
        <v xml:space="preserve"> </v>
      </c>
      <c r="V82" s="32"/>
      <c r="W82" s="32"/>
      <c r="X82" s="53"/>
      <c r="Y82" s="21" t="str">
        <f>IFERROR(VLOOKUP(March[[#This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21" t="str">
        <f>IFERROR(VLOOKUP(March[[#This Row],[Drug Name4]],'Data Options'!$R$1:$S$100,2,FALSE), " ")</f>
        <v xml:space="preserve"> </v>
      </c>
      <c r="AI82" s="32"/>
      <c r="AJ82" s="32"/>
      <c r="AK82" s="53"/>
      <c r="AL82" s="21" t="str">
        <f>IFERROR(VLOOKUP(March[[#This Row],[Drug Name5]],'Data Options'!$R$1:$S$100,2,FALSE), " ")</f>
        <v xml:space="preserve"> </v>
      </c>
      <c r="AM82" s="32"/>
      <c r="AN82" s="32"/>
      <c r="AO82" s="53"/>
      <c r="AP82" s="21" t="str">
        <f>IFERROR(VLOOKUP(March[[#This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21" t="str">
        <f>IFERROR(VLOOKUP(March[[#This Row],[Drug Name7]],'Data Options'!$R$1:$S$100,2,FALSE), " ")</f>
        <v xml:space="preserve"> </v>
      </c>
      <c r="AZ82" s="32"/>
      <c r="BA82" s="32"/>
      <c r="BB82" s="53"/>
      <c r="BC82" s="21" t="str">
        <f>IFERROR(VLOOKUP(March[[#This Row],[Drug Name8]],'Data Options'!$R$1:$S$100,2,FALSE), " ")</f>
        <v xml:space="preserve"> </v>
      </c>
      <c r="BD82" s="32"/>
      <c r="BE82" s="32"/>
      <c r="BF82" s="53"/>
      <c r="BG82" s="21" t="str">
        <f>IFERROR(VLOOKUP(March[[#This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21" t="str">
        <f>IFERROR(VLOOKUP(March[[#This Row],[Drug Name]],'Data Options'!$R$1:$S$100,2,FALSE), " ")</f>
        <v xml:space="preserve"> </v>
      </c>
      <c r="R83" s="32"/>
      <c r="S83" s="32"/>
      <c r="T83" s="53"/>
      <c r="U83" s="21" t="str">
        <f>IFERROR(VLOOKUP(March[[#This Row],[Drug Name2]],'Data Options'!$R$1:$S$100,2,FALSE), " ")</f>
        <v xml:space="preserve"> </v>
      </c>
      <c r="V83" s="32"/>
      <c r="W83" s="32"/>
      <c r="X83" s="53"/>
      <c r="Y83" s="21" t="str">
        <f>IFERROR(VLOOKUP(March[[#This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21" t="str">
        <f>IFERROR(VLOOKUP(March[[#This Row],[Drug Name4]],'Data Options'!$R$1:$S$100,2,FALSE), " ")</f>
        <v xml:space="preserve"> </v>
      </c>
      <c r="AI83" s="32"/>
      <c r="AJ83" s="32"/>
      <c r="AK83" s="53"/>
      <c r="AL83" s="21" t="str">
        <f>IFERROR(VLOOKUP(March[[#This Row],[Drug Name5]],'Data Options'!$R$1:$S$100,2,FALSE), " ")</f>
        <v xml:space="preserve"> </v>
      </c>
      <c r="AM83" s="32"/>
      <c r="AN83" s="32"/>
      <c r="AO83" s="53"/>
      <c r="AP83" s="21" t="str">
        <f>IFERROR(VLOOKUP(March[[#This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21" t="str">
        <f>IFERROR(VLOOKUP(March[[#This Row],[Drug Name7]],'Data Options'!$R$1:$S$100,2,FALSE), " ")</f>
        <v xml:space="preserve"> </v>
      </c>
      <c r="AZ83" s="32"/>
      <c r="BA83" s="32"/>
      <c r="BB83" s="53"/>
      <c r="BC83" s="21" t="str">
        <f>IFERROR(VLOOKUP(March[[#This Row],[Drug Name8]],'Data Options'!$R$1:$S$100,2,FALSE), " ")</f>
        <v xml:space="preserve"> </v>
      </c>
      <c r="BD83" s="32"/>
      <c r="BE83" s="32"/>
      <c r="BF83" s="53"/>
      <c r="BG83" s="21" t="str">
        <f>IFERROR(VLOOKUP(March[[#This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21" t="str">
        <f>IFERROR(VLOOKUP(March[[#This Row],[Drug Name]],'Data Options'!$R$1:$S$100,2,FALSE), " ")</f>
        <v xml:space="preserve"> </v>
      </c>
      <c r="R84" s="32"/>
      <c r="S84" s="32"/>
      <c r="T84" s="53"/>
      <c r="U84" s="21" t="str">
        <f>IFERROR(VLOOKUP(March[[#This Row],[Drug Name2]],'Data Options'!$R$1:$S$100,2,FALSE), " ")</f>
        <v xml:space="preserve"> </v>
      </c>
      <c r="V84" s="32"/>
      <c r="W84" s="32"/>
      <c r="X84" s="53"/>
      <c r="Y84" s="21" t="str">
        <f>IFERROR(VLOOKUP(March[[#This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21" t="str">
        <f>IFERROR(VLOOKUP(March[[#This Row],[Drug Name4]],'Data Options'!$R$1:$S$100,2,FALSE), " ")</f>
        <v xml:space="preserve"> </v>
      </c>
      <c r="AI84" s="32"/>
      <c r="AJ84" s="32"/>
      <c r="AK84" s="53"/>
      <c r="AL84" s="21" t="str">
        <f>IFERROR(VLOOKUP(March[[#This Row],[Drug Name5]],'Data Options'!$R$1:$S$100,2,FALSE), " ")</f>
        <v xml:space="preserve"> </v>
      </c>
      <c r="AM84" s="32"/>
      <c r="AN84" s="32"/>
      <c r="AO84" s="53"/>
      <c r="AP84" s="21" t="str">
        <f>IFERROR(VLOOKUP(March[[#This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21" t="str">
        <f>IFERROR(VLOOKUP(March[[#This Row],[Drug Name7]],'Data Options'!$R$1:$S$100,2,FALSE), " ")</f>
        <v xml:space="preserve"> </v>
      </c>
      <c r="AZ84" s="32"/>
      <c r="BA84" s="32"/>
      <c r="BB84" s="53"/>
      <c r="BC84" s="21" t="str">
        <f>IFERROR(VLOOKUP(March[[#This Row],[Drug Name8]],'Data Options'!$R$1:$S$100,2,FALSE), " ")</f>
        <v xml:space="preserve"> </v>
      </c>
      <c r="BD84" s="32"/>
      <c r="BE84" s="32"/>
      <c r="BF84" s="53"/>
      <c r="BG84" s="21" t="str">
        <f>IFERROR(VLOOKUP(March[[#This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21" t="str">
        <f>IFERROR(VLOOKUP(March[[#This Row],[Drug Name]],'Data Options'!$R$1:$S$100,2,FALSE), " ")</f>
        <v xml:space="preserve"> </v>
      </c>
      <c r="R85" s="32"/>
      <c r="S85" s="32"/>
      <c r="T85" s="53"/>
      <c r="U85" s="21" t="str">
        <f>IFERROR(VLOOKUP(March[[#This Row],[Drug Name2]],'Data Options'!$R$1:$S$100,2,FALSE), " ")</f>
        <v xml:space="preserve"> </v>
      </c>
      <c r="V85" s="32"/>
      <c r="W85" s="32"/>
      <c r="X85" s="53"/>
      <c r="Y85" s="21" t="str">
        <f>IFERROR(VLOOKUP(March[[#This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21" t="str">
        <f>IFERROR(VLOOKUP(March[[#This Row],[Drug Name4]],'Data Options'!$R$1:$S$100,2,FALSE), " ")</f>
        <v xml:space="preserve"> </v>
      </c>
      <c r="AI85" s="32"/>
      <c r="AJ85" s="32"/>
      <c r="AK85" s="53"/>
      <c r="AL85" s="21" t="str">
        <f>IFERROR(VLOOKUP(March[[#This Row],[Drug Name5]],'Data Options'!$R$1:$S$100,2,FALSE), " ")</f>
        <v xml:space="preserve"> </v>
      </c>
      <c r="AM85" s="32"/>
      <c r="AN85" s="32"/>
      <c r="AO85" s="53"/>
      <c r="AP85" s="21" t="str">
        <f>IFERROR(VLOOKUP(March[[#This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21" t="str">
        <f>IFERROR(VLOOKUP(March[[#This Row],[Drug Name7]],'Data Options'!$R$1:$S$100,2,FALSE), " ")</f>
        <v xml:space="preserve"> </v>
      </c>
      <c r="AZ85" s="32"/>
      <c r="BA85" s="32"/>
      <c r="BB85" s="53"/>
      <c r="BC85" s="21" t="str">
        <f>IFERROR(VLOOKUP(March[[#This Row],[Drug Name8]],'Data Options'!$R$1:$S$100,2,FALSE), " ")</f>
        <v xml:space="preserve"> </v>
      </c>
      <c r="BD85" s="32"/>
      <c r="BE85" s="32"/>
      <c r="BF85" s="53"/>
      <c r="BG85" s="21" t="str">
        <f>IFERROR(VLOOKUP(March[[#This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21" t="str">
        <f>IFERROR(VLOOKUP(March[[#This Row],[Drug Name]],'Data Options'!$R$1:$S$100,2,FALSE), " ")</f>
        <v xml:space="preserve"> </v>
      </c>
      <c r="R86" s="32"/>
      <c r="S86" s="32"/>
      <c r="T86" s="53"/>
      <c r="U86" s="21" t="str">
        <f>IFERROR(VLOOKUP(March[[#This Row],[Drug Name2]],'Data Options'!$R$1:$S$100,2,FALSE), " ")</f>
        <v xml:space="preserve"> </v>
      </c>
      <c r="V86" s="32"/>
      <c r="W86" s="32"/>
      <c r="X86" s="53"/>
      <c r="Y86" s="21" t="str">
        <f>IFERROR(VLOOKUP(March[[#This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21" t="str">
        <f>IFERROR(VLOOKUP(March[[#This Row],[Drug Name4]],'Data Options'!$R$1:$S$100,2,FALSE), " ")</f>
        <v xml:space="preserve"> </v>
      </c>
      <c r="AI86" s="32"/>
      <c r="AJ86" s="32"/>
      <c r="AK86" s="53"/>
      <c r="AL86" s="21" t="str">
        <f>IFERROR(VLOOKUP(March[[#This Row],[Drug Name5]],'Data Options'!$R$1:$S$100,2,FALSE), " ")</f>
        <v xml:space="preserve"> </v>
      </c>
      <c r="AM86" s="32"/>
      <c r="AN86" s="32"/>
      <c r="AO86" s="53"/>
      <c r="AP86" s="21" t="str">
        <f>IFERROR(VLOOKUP(March[[#This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21" t="str">
        <f>IFERROR(VLOOKUP(March[[#This Row],[Drug Name7]],'Data Options'!$R$1:$S$100,2,FALSE), " ")</f>
        <v xml:space="preserve"> </v>
      </c>
      <c r="AZ86" s="32"/>
      <c r="BA86" s="32"/>
      <c r="BB86" s="53"/>
      <c r="BC86" s="21" t="str">
        <f>IFERROR(VLOOKUP(March[[#This Row],[Drug Name8]],'Data Options'!$R$1:$S$100,2,FALSE), " ")</f>
        <v xml:space="preserve"> </v>
      </c>
      <c r="BD86" s="32"/>
      <c r="BE86" s="32"/>
      <c r="BF86" s="53"/>
      <c r="BG86" s="21" t="str">
        <f>IFERROR(VLOOKUP(March[[#This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21" t="str">
        <f>IFERROR(VLOOKUP(March[[#This Row],[Drug Name]],'Data Options'!$R$1:$S$100,2,FALSE), " ")</f>
        <v xml:space="preserve"> </v>
      </c>
      <c r="R87" s="32"/>
      <c r="S87" s="32"/>
      <c r="T87" s="53"/>
      <c r="U87" s="21" t="str">
        <f>IFERROR(VLOOKUP(March[[#This Row],[Drug Name2]],'Data Options'!$R$1:$S$100,2,FALSE), " ")</f>
        <v xml:space="preserve"> </v>
      </c>
      <c r="V87" s="32"/>
      <c r="W87" s="32"/>
      <c r="X87" s="53"/>
      <c r="Y87" s="21" t="str">
        <f>IFERROR(VLOOKUP(March[[#This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21" t="str">
        <f>IFERROR(VLOOKUP(March[[#This Row],[Drug Name4]],'Data Options'!$R$1:$S$100,2,FALSE), " ")</f>
        <v xml:space="preserve"> </v>
      </c>
      <c r="AI87" s="32"/>
      <c r="AJ87" s="32"/>
      <c r="AK87" s="53"/>
      <c r="AL87" s="21" t="str">
        <f>IFERROR(VLOOKUP(March[[#This Row],[Drug Name5]],'Data Options'!$R$1:$S$100,2,FALSE), " ")</f>
        <v xml:space="preserve"> </v>
      </c>
      <c r="AM87" s="32"/>
      <c r="AN87" s="32"/>
      <c r="AO87" s="53"/>
      <c r="AP87" s="21" t="str">
        <f>IFERROR(VLOOKUP(March[[#This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21" t="str">
        <f>IFERROR(VLOOKUP(March[[#This Row],[Drug Name7]],'Data Options'!$R$1:$S$100,2,FALSE), " ")</f>
        <v xml:space="preserve"> </v>
      </c>
      <c r="AZ87" s="32"/>
      <c r="BA87" s="32"/>
      <c r="BB87" s="53"/>
      <c r="BC87" s="21" t="str">
        <f>IFERROR(VLOOKUP(March[[#This Row],[Drug Name8]],'Data Options'!$R$1:$S$100,2,FALSE), " ")</f>
        <v xml:space="preserve"> </v>
      </c>
      <c r="BD87" s="32"/>
      <c r="BE87" s="32"/>
      <c r="BF87" s="53"/>
      <c r="BG87" s="21" t="str">
        <f>IFERROR(VLOOKUP(March[[#This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21" t="str">
        <f>IFERROR(VLOOKUP(March[[#This Row],[Drug Name]],'Data Options'!$R$1:$S$100,2,FALSE), " ")</f>
        <v xml:space="preserve"> </v>
      </c>
      <c r="R88" s="32"/>
      <c r="S88" s="32"/>
      <c r="T88" s="53"/>
      <c r="U88" s="21" t="str">
        <f>IFERROR(VLOOKUP(March[[#This Row],[Drug Name2]],'Data Options'!$R$1:$S$100,2,FALSE), " ")</f>
        <v xml:space="preserve"> </v>
      </c>
      <c r="V88" s="32"/>
      <c r="W88" s="32"/>
      <c r="X88" s="53"/>
      <c r="Y88" s="21" t="str">
        <f>IFERROR(VLOOKUP(March[[#This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21" t="str">
        <f>IFERROR(VLOOKUP(March[[#This Row],[Drug Name4]],'Data Options'!$R$1:$S$100,2,FALSE), " ")</f>
        <v xml:space="preserve"> </v>
      </c>
      <c r="AI88" s="32"/>
      <c r="AJ88" s="32"/>
      <c r="AK88" s="53"/>
      <c r="AL88" s="21" t="str">
        <f>IFERROR(VLOOKUP(March[[#This Row],[Drug Name5]],'Data Options'!$R$1:$S$100,2,FALSE), " ")</f>
        <v xml:space="preserve"> </v>
      </c>
      <c r="AM88" s="32"/>
      <c r="AN88" s="32"/>
      <c r="AO88" s="53"/>
      <c r="AP88" s="21" t="str">
        <f>IFERROR(VLOOKUP(March[[#This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21" t="str">
        <f>IFERROR(VLOOKUP(March[[#This Row],[Drug Name7]],'Data Options'!$R$1:$S$100,2,FALSE), " ")</f>
        <v xml:space="preserve"> </v>
      </c>
      <c r="AZ88" s="32"/>
      <c r="BA88" s="32"/>
      <c r="BB88" s="53"/>
      <c r="BC88" s="21" t="str">
        <f>IFERROR(VLOOKUP(March[[#This Row],[Drug Name8]],'Data Options'!$R$1:$S$100,2,FALSE), " ")</f>
        <v xml:space="preserve"> </v>
      </c>
      <c r="BD88" s="32"/>
      <c r="BE88" s="32"/>
      <c r="BF88" s="53"/>
      <c r="BG88" s="21" t="str">
        <f>IFERROR(VLOOKUP(March[[#This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21" t="str">
        <f>IFERROR(VLOOKUP(March[[#This Row],[Drug Name]],'Data Options'!$R$1:$S$100,2,FALSE), " ")</f>
        <v xml:space="preserve"> </v>
      </c>
      <c r="R89" s="32"/>
      <c r="S89" s="32"/>
      <c r="T89" s="53"/>
      <c r="U89" s="21" t="str">
        <f>IFERROR(VLOOKUP(March[[#This Row],[Drug Name2]],'Data Options'!$R$1:$S$100,2,FALSE), " ")</f>
        <v xml:space="preserve"> </v>
      </c>
      <c r="V89" s="32"/>
      <c r="W89" s="32"/>
      <c r="X89" s="53"/>
      <c r="Y89" s="21" t="str">
        <f>IFERROR(VLOOKUP(March[[#This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21" t="str">
        <f>IFERROR(VLOOKUP(March[[#This Row],[Drug Name4]],'Data Options'!$R$1:$S$100,2,FALSE), " ")</f>
        <v xml:space="preserve"> </v>
      </c>
      <c r="AI89" s="32"/>
      <c r="AJ89" s="32"/>
      <c r="AK89" s="53"/>
      <c r="AL89" s="21" t="str">
        <f>IFERROR(VLOOKUP(March[[#This Row],[Drug Name5]],'Data Options'!$R$1:$S$100,2,FALSE), " ")</f>
        <v xml:space="preserve"> </v>
      </c>
      <c r="AM89" s="32"/>
      <c r="AN89" s="32"/>
      <c r="AO89" s="53"/>
      <c r="AP89" s="21" t="str">
        <f>IFERROR(VLOOKUP(March[[#This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21" t="str">
        <f>IFERROR(VLOOKUP(March[[#This Row],[Drug Name7]],'Data Options'!$R$1:$S$100,2,FALSE), " ")</f>
        <v xml:space="preserve"> </v>
      </c>
      <c r="AZ89" s="32"/>
      <c r="BA89" s="32"/>
      <c r="BB89" s="53"/>
      <c r="BC89" s="21" t="str">
        <f>IFERROR(VLOOKUP(March[[#This Row],[Drug Name8]],'Data Options'!$R$1:$S$100,2,FALSE), " ")</f>
        <v xml:space="preserve"> </v>
      </c>
      <c r="BD89" s="32"/>
      <c r="BE89" s="32"/>
      <c r="BF89" s="53"/>
      <c r="BG89" s="21" t="str">
        <f>IFERROR(VLOOKUP(March[[#This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21" t="str">
        <f>IFERROR(VLOOKUP(March[[#This Row],[Drug Name]],'Data Options'!$R$1:$S$100,2,FALSE), " ")</f>
        <v xml:space="preserve"> </v>
      </c>
      <c r="R90" s="32"/>
      <c r="S90" s="32"/>
      <c r="T90" s="53"/>
      <c r="U90" s="21" t="str">
        <f>IFERROR(VLOOKUP(March[[#This Row],[Drug Name2]],'Data Options'!$R$1:$S$100,2,FALSE), " ")</f>
        <v xml:space="preserve"> </v>
      </c>
      <c r="V90" s="32"/>
      <c r="W90" s="32"/>
      <c r="X90" s="53"/>
      <c r="Y90" s="21" t="str">
        <f>IFERROR(VLOOKUP(March[[#This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21" t="str">
        <f>IFERROR(VLOOKUP(March[[#This Row],[Drug Name4]],'Data Options'!$R$1:$S$100,2,FALSE), " ")</f>
        <v xml:space="preserve"> </v>
      </c>
      <c r="AI90" s="32"/>
      <c r="AJ90" s="32"/>
      <c r="AK90" s="53"/>
      <c r="AL90" s="21" t="str">
        <f>IFERROR(VLOOKUP(March[[#This Row],[Drug Name5]],'Data Options'!$R$1:$S$100,2,FALSE), " ")</f>
        <v xml:space="preserve"> </v>
      </c>
      <c r="AM90" s="32"/>
      <c r="AN90" s="32"/>
      <c r="AO90" s="53"/>
      <c r="AP90" s="21" t="str">
        <f>IFERROR(VLOOKUP(March[[#This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21" t="str">
        <f>IFERROR(VLOOKUP(March[[#This Row],[Drug Name7]],'Data Options'!$R$1:$S$100,2,FALSE), " ")</f>
        <v xml:space="preserve"> </v>
      </c>
      <c r="AZ90" s="32"/>
      <c r="BA90" s="32"/>
      <c r="BB90" s="53"/>
      <c r="BC90" s="21" t="str">
        <f>IFERROR(VLOOKUP(March[[#This Row],[Drug Name8]],'Data Options'!$R$1:$S$100,2,FALSE), " ")</f>
        <v xml:space="preserve"> </v>
      </c>
      <c r="BD90" s="32"/>
      <c r="BE90" s="32"/>
      <c r="BF90" s="53"/>
      <c r="BG90" s="21" t="str">
        <f>IFERROR(VLOOKUP(March[[#This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21" t="str">
        <f>IFERROR(VLOOKUP(March[[#This Row],[Drug Name]],'Data Options'!$R$1:$S$100,2,FALSE), " ")</f>
        <v xml:space="preserve"> </v>
      </c>
      <c r="R91" s="32"/>
      <c r="S91" s="32"/>
      <c r="T91" s="53"/>
      <c r="U91" s="21" t="str">
        <f>IFERROR(VLOOKUP(March[[#This Row],[Drug Name2]],'Data Options'!$R$1:$S$100,2,FALSE), " ")</f>
        <v xml:space="preserve"> </v>
      </c>
      <c r="V91" s="32"/>
      <c r="W91" s="32"/>
      <c r="X91" s="53"/>
      <c r="Y91" s="21" t="str">
        <f>IFERROR(VLOOKUP(March[[#This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21" t="str">
        <f>IFERROR(VLOOKUP(March[[#This Row],[Drug Name4]],'Data Options'!$R$1:$S$100,2,FALSE), " ")</f>
        <v xml:space="preserve"> </v>
      </c>
      <c r="AI91" s="32"/>
      <c r="AJ91" s="32"/>
      <c r="AK91" s="53"/>
      <c r="AL91" s="21" t="str">
        <f>IFERROR(VLOOKUP(March[[#This Row],[Drug Name5]],'Data Options'!$R$1:$S$100,2,FALSE), " ")</f>
        <v xml:space="preserve"> </v>
      </c>
      <c r="AM91" s="32"/>
      <c r="AN91" s="32"/>
      <c r="AO91" s="53"/>
      <c r="AP91" s="21" t="str">
        <f>IFERROR(VLOOKUP(March[[#This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21" t="str">
        <f>IFERROR(VLOOKUP(March[[#This Row],[Drug Name7]],'Data Options'!$R$1:$S$100,2,FALSE), " ")</f>
        <v xml:space="preserve"> </v>
      </c>
      <c r="AZ91" s="32"/>
      <c r="BA91" s="32"/>
      <c r="BB91" s="53"/>
      <c r="BC91" s="21" t="str">
        <f>IFERROR(VLOOKUP(March[[#This Row],[Drug Name8]],'Data Options'!$R$1:$S$100,2,FALSE), " ")</f>
        <v xml:space="preserve"> </v>
      </c>
      <c r="BD91" s="32"/>
      <c r="BE91" s="32"/>
      <c r="BF91" s="53"/>
      <c r="BG91" s="21" t="str">
        <f>IFERROR(VLOOKUP(March[[#This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21" t="str">
        <f>IFERROR(VLOOKUP(March[[#This Row],[Drug Name]],'Data Options'!$R$1:$S$100,2,FALSE), " ")</f>
        <v xml:space="preserve"> </v>
      </c>
      <c r="R92" s="32"/>
      <c r="S92" s="32"/>
      <c r="T92" s="53"/>
      <c r="U92" s="21" t="str">
        <f>IFERROR(VLOOKUP(March[[#This Row],[Drug Name2]],'Data Options'!$R$1:$S$100,2,FALSE), " ")</f>
        <v xml:space="preserve"> </v>
      </c>
      <c r="V92" s="32"/>
      <c r="W92" s="32"/>
      <c r="X92" s="53"/>
      <c r="Y92" s="21" t="str">
        <f>IFERROR(VLOOKUP(March[[#This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21" t="str">
        <f>IFERROR(VLOOKUP(March[[#This Row],[Drug Name4]],'Data Options'!$R$1:$S$100,2,FALSE), " ")</f>
        <v xml:space="preserve"> </v>
      </c>
      <c r="AI92" s="32"/>
      <c r="AJ92" s="32"/>
      <c r="AK92" s="53"/>
      <c r="AL92" s="21" t="str">
        <f>IFERROR(VLOOKUP(March[[#This Row],[Drug Name5]],'Data Options'!$R$1:$S$100,2,FALSE), " ")</f>
        <v xml:space="preserve"> </v>
      </c>
      <c r="AM92" s="32"/>
      <c r="AN92" s="32"/>
      <c r="AO92" s="53"/>
      <c r="AP92" s="21" t="str">
        <f>IFERROR(VLOOKUP(March[[#This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21" t="str">
        <f>IFERROR(VLOOKUP(March[[#This Row],[Drug Name7]],'Data Options'!$R$1:$S$100,2,FALSE), " ")</f>
        <v xml:space="preserve"> </v>
      </c>
      <c r="AZ92" s="32"/>
      <c r="BA92" s="32"/>
      <c r="BB92" s="53"/>
      <c r="BC92" s="21" t="str">
        <f>IFERROR(VLOOKUP(March[[#This Row],[Drug Name8]],'Data Options'!$R$1:$S$100,2,FALSE), " ")</f>
        <v xml:space="preserve"> </v>
      </c>
      <c r="BD92" s="32"/>
      <c r="BE92" s="32"/>
      <c r="BF92" s="53"/>
      <c r="BG92" s="21" t="str">
        <f>IFERROR(VLOOKUP(March[[#This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21" t="str">
        <f>IFERROR(VLOOKUP(March[[#This Row],[Drug Name]],'Data Options'!$R$1:$S$100,2,FALSE), " ")</f>
        <v xml:space="preserve"> </v>
      </c>
      <c r="R93" s="32"/>
      <c r="S93" s="32"/>
      <c r="T93" s="53"/>
      <c r="U93" s="21" t="str">
        <f>IFERROR(VLOOKUP(March[[#This Row],[Drug Name2]],'Data Options'!$R$1:$S$100,2,FALSE), " ")</f>
        <v xml:space="preserve"> </v>
      </c>
      <c r="V93" s="32"/>
      <c r="W93" s="32"/>
      <c r="X93" s="53"/>
      <c r="Y93" s="21" t="str">
        <f>IFERROR(VLOOKUP(March[[#This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21" t="str">
        <f>IFERROR(VLOOKUP(March[[#This Row],[Drug Name4]],'Data Options'!$R$1:$S$100,2,FALSE), " ")</f>
        <v xml:space="preserve"> </v>
      </c>
      <c r="AI93" s="32"/>
      <c r="AJ93" s="32"/>
      <c r="AK93" s="53"/>
      <c r="AL93" s="21" t="str">
        <f>IFERROR(VLOOKUP(March[[#This Row],[Drug Name5]],'Data Options'!$R$1:$S$100,2,FALSE), " ")</f>
        <v xml:space="preserve"> </v>
      </c>
      <c r="AM93" s="32"/>
      <c r="AN93" s="32"/>
      <c r="AO93" s="53"/>
      <c r="AP93" s="21" t="str">
        <f>IFERROR(VLOOKUP(March[[#This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21" t="str">
        <f>IFERROR(VLOOKUP(March[[#This Row],[Drug Name7]],'Data Options'!$R$1:$S$100,2,FALSE), " ")</f>
        <v xml:space="preserve"> </v>
      </c>
      <c r="AZ93" s="32"/>
      <c r="BA93" s="32"/>
      <c r="BB93" s="53"/>
      <c r="BC93" s="21" t="str">
        <f>IFERROR(VLOOKUP(March[[#This Row],[Drug Name8]],'Data Options'!$R$1:$S$100,2,FALSE), " ")</f>
        <v xml:space="preserve"> </v>
      </c>
      <c r="BD93" s="32"/>
      <c r="BE93" s="32"/>
      <c r="BF93" s="53"/>
      <c r="BG93" s="21" t="str">
        <f>IFERROR(VLOOKUP(March[[#This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21" t="str">
        <f>IFERROR(VLOOKUP(March[[#This Row],[Drug Name]],'Data Options'!$R$1:$S$100,2,FALSE), " ")</f>
        <v xml:space="preserve"> </v>
      </c>
      <c r="R94" s="32"/>
      <c r="S94" s="32"/>
      <c r="T94" s="53"/>
      <c r="U94" s="21" t="str">
        <f>IFERROR(VLOOKUP(March[[#This Row],[Drug Name2]],'Data Options'!$R$1:$S$100,2,FALSE), " ")</f>
        <v xml:space="preserve"> </v>
      </c>
      <c r="V94" s="32"/>
      <c r="W94" s="32"/>
      <c r="X94" s="53"/>
      <c r="Y94" s="21" t="str">
        <f>IFERROR(VLOOKUP(March[[#This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21" t="str">
        <f>IFERROR(VLOOKUP(March[[#This Row],[Drug Name4]],'Data Options'!$R$1:$S$100,2,FALSE), " ")</f>
        <v xml:space="preserve"> </v>
      </c>
      <c r="AI94" s="32"/>
      <c r="AJ94" s="32"/>
      <c r="AK94" s="53"/>
      <c r="AL94" s="21" t="str">
        <f>IFERROR(VLOOKUP(March[[#This Row],[Drug Name5]],'Data Options'!$R$1:$S$100,2,FALSE), " ")</f>
        <v xml:space="preserve"> </v>
      </c>
      <c r="AM94" s="32"/>
      <c r="AN94" s="32"/>
      <c r="AO94" s="53"/>
      <c r="AP94" s="21" t="str">
        <f>IFERROR(VLOOKUP(March[[#This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21" t="str">
        <f>IFERROR(VLOOKUP(March[[#This Row],[Drug Name7]],'Data Options'!$R$1:$S$100,2,FALSE), " ")</f>
        <v xml:space="preserve"> </v>
      </c>
      <c r="AZ94" s="32"/>
      <c r="BA94" s="32"/>
      <c r="BB94" s="53"/>
      <c r="BC94" s="21" t="str">
        <f>IFERROR(VLOOKUP(March[[#This Row],[Drug Name8]],'Data Options'!$R$1:$S$100,2,FALSE), " ")</f>
        <v xml:space="preserve"> </v>
      </c>
      <c r="BD94" s="32"/>
      <c r="BE94" s="32"/>
      <c r="BF94" s="53"/>
      <c r="BG94" s="21" t="str">
        <f>IFERROR(VLOOKUP(March[[#This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21" t="str">
        <f>IFERROR(VLOOKUP(March[[#This Row],[Drug Name]],'Data Options'!$R$1:$S$100,2,FALSE), " ")</f>
        <v xml:space="preserve"> </v>
      </c>
      <c r="R95" s="32"/>
      <c r="S95" s="32"/>
      <c r="T95" s="53"/>
      <c r="U95" s="21" t="str">
        <f>IFERROR(VLOOKUP(March[[#This Row],[Drug Name2]],'Data Options'!$R$1:$S$100,2,FALSE), " ")</f>
        <v xml:space="preserve"> </v>
      </c>
      <c r="V95" s="32"/>
      <c r="W95" s="32"/>
      <c r="X95" s="53"/>
      <c r="Y95" s="21" t="str">
        <f>IFERROR(VLOOKUP(March[[#This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21" t="str">
        <f>IFERROR(VLOOKUP(March[[#This Row],[Drug Name4]],'Data Options'!$R$1:$S$100,2,FALSE), " ")</f>
        <v xml:space="preserve"> </v>
      </c>
      <c r="AI95" s="32"/>
      <c r="AJ95" s="32"/>
      <c r="AK95" s="53"/>
      <c r="AL95" s="21" t="str">
        <f>IFERROR(VLOOKUP(March[[#This Row],[Drug Name5]],'Data Options'!$R$1:$S$100,2,FALSE), " ")</f>
        <v xml:space="preserve"> </v>
      </c>
      <c r="AM95" s="32"/>
      <c r="AN95" s="32"/>
      <c r="AO95" s="53"/>
      <c r="AP95" s="21" t="str">
        <f>IFERROR(VLOOKUP(March[[#This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21" t="str">
        <f>IFERROR(VLOOKUP(March[[#This Row],[Drug Name7]],'Data Options'!$R$1:$S$100,2,FALSE), " ")</f>
        <v xml:space="preserve"> </v>
      </c>
      <c r="AZ95" s="32"/>
      <c r="BA95" s="32"/>
      <c r="BB95" s="53"/>
      <c r="BC95" s="21" t="str">
        <f>IFERROR(VLOOKUP(March[[#This Row],[Drug Name8]],'Data Options'!$R$1:$S$100,2,FALSE), " ")</f>
        <v xml:space="preserve"> </v>
      </c>
      <c r="BD95" s="32"/>
      <c r="BE95" s="32"/>
      <c r="BF95" s="53"/>
      <c r="BG95" s="21" t="str">
        <f>IFERROR(VLOOKUP(March[[#This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21" t="str">
        <f>IFERROR(VLOOKUP(March[[#This Row],[Drug Name]],'Data Options'!$R$1:$S$100,2,FALSE), " ")</f>
        <v xml:space="preserve"> </v>
      </c>
      <c r="R96" s="32"/>
      <c r="S96" s="32"/>
      <c r="T96" s="53"/>
      <c r="U96" s="21" t="str">
        <f>IFERROR(VLOOKUP(March[[#This Row],[Drug Name2]],'Data Options'!$R$1:$S$100,2,FALSE), " ")</f>
        <v xml:space="preserve"> </v>
      </c>
      <c r="V96" s="32"/>
      <c r="W96" s="32"/>
      <c r="X96" s="53"/>
      <c r="Y96" s="21" t="str">
        <f>IFERROR(VLOOKUP(March[[#This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21" t="str">
        <f>IFERROR(VLOOKUP(March[[#This Row],[Drug Name4]],'Data Options'!$R$1:$S$100,2,FALSE), " ")</f>
        <v xml:space="preserve"> </v>
      </c>
      <c r="AI96" s="32"/>
      <c r="AJ96" s="32"/>
      <c r="AK96" s="53"/>
      <c r="AL96" s="21" t="str">
        <f>IFERROR(VLOOKUP(March[[#This Row],[Drug Name5]],'Data Options'!$R$1:$S$100,2,FALSE), " ")</f>
        <v xml:space="preserve"> </v>
      </c>
      <c r="AM96" s="32"/>
      <c r="AN96" s="32"/>
      <c r="AO96" s="53"/>
      <c r="AP96" s="21" t="str">
        <f>IFERROR(VLOOKUP(March[[#This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21" t="str">
        <f>IFERROR(VLOOKUP(March[[#This Row],[Drug Name7]],'Data Options'!$R$1:$S$100,2,FALSE), " ")</f>
        <v xml:space="preserve"> </v>
      </c>
      <c r="AZ96" s="32"/>
      <c r="BA96" s="32"/>
      <c r="BB96" s="53"/>
      <c r="BC96" s="21" t="str">
        <f>IFERROR(VLOOKUP(March[[#This Row],[Drug Name8]],'Data Options'!$R$1:$S$100,2,FALSE), " ")</f>
        <v xml:space="preserve"> </v>
      </c>
      <c r="BD96" s="32"/>
      <c r="BE96" s="32"/>
      <c r="BF96" s="53"/>
      <c r="BG96" s="21" t="str">
        <f>IFERROR(VLOOKUP(March[[#This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21" t="str">
        <f>IFERROR(VLOOKUP(March[[#This Row],[Drug Name]],'Data Options'!$R$1:$S$100,2,FALSE), " ")</f>
        <v xml:space="preserve"> </v>
      </c>
      <c r="R97" s="32"/>
      <c r="S97" s="32"/>
      <c r="T97" s="53"/>
      <c r="U97" s="21" t="str">
        <f>IFERROR(VLOOKUP(March[[#This Row],[Drug Name2]],'Data Options'!$R$1:$S$100,2,FALSE), " ")</f>
        <v xml:space="preserve"> </v>
      </c>
      <c r="V97" s="32"/>
      <c r="W97" s="32"/>
      <c r="X97" s="53"/>
      <c r="Y97" s="21" t="str">
        <f>IFERROR(VLOOKUP(March[[#This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21" t="str">
        <f>IFERROR(VLOOKUP(March[[#This Row],[Drug Name4]],'Data Options'!$R$1:$S$100,2,FALSE), " ")</f>
        <v xml:space="preserve"> </v>
      </c>
      <c r="AI97" s="32"/>
      <c r="AJ97" s="32"/>
      <c r="AK97" s="53"/>
      <c r="AL97" s="21" t="str">
        <f>IFERROR(VLOOKUP(March[[#This Row],[Drug Name5]],'Data Options'!$R$1:$S$100,2,FALSE), " ")</f>
        <v xml:space="preserve"> </v>
      </c>
      <c r="AM97" s="32"/>
      <c r="AN97" s="32"/>
      <c r="AO97" s="53"/>
      <c r="AP97" s="21" t="str">
        <f>IFERROR(VLOOKUP(March[[#This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21" t="str">
        <f>IFERROR(VLOOKUP(March[[#This Row],[Drug Name7]],'Data Options'!$R$1:$S$100,2,FALSE), " ")</f>
        <v xml:space="preserve"> </v>
      </c>
      <c r="AZ97" s="32"/>
      <c r="BA97" s="32"/>
      <c r="BB97" s="53"/>
      <c r="BC97" s="21" t="str">
        <f>IFERROR(VLOOKUP(March[[#This Row],[Drug Name8]],'Data Options'!$R$1:$S$100,2,FALSE), " ")</f>
        <v xml:space="preserve"> </v>
      </c>
      <c r="BD97" s="32"/>
      <c r="BE97" s="32"/>
      <c r="BF97" s="53"/>
      <c r="BG97" s="21" t="str">
        <f>IFERROR(VLOOKUP(March[[#This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21" t="str">
        <f>IFERROR(VLOOKUP(March[[#This Row],[Drug Name]],'Data Options'!$R$1:$S$100,2,FALSE), " ")</f>
        <v xml:space="preserve"> </v>
      </c>
      <c r="R98" s="32"/>
      <c r="S98" s="32"/>
      <c r="T98" s="53"/>
      <c r="U98" s="21" t="str">
        <f>IFERROR(VLOOKUP(March[[#This Row],[Drug Name2]],'Data Options'!$R$1:$S$100,2,FALSE), " ")</f>
        <v xml:space="preserve"> </v>
      </c>
      <c r="V98" s="32"/>
      <c r="W98" s="32"/>
      <c r="X98" s="53"/>
      <c r="Y98" s="21" t="str">
        <f>IFERROR(VLOOKUP(March[[#This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21" t="str">
        <f>IFERROR(VLOOKUP(March[[#This Row],[Drug Name4]],'Data Options'!$R$1:$S$100,2,FALSE), " ")</f>
        <v xml:space="preserve"> </v>
      </c>
      <c r="AI98" s="32"/>
      <c r="AJ98" s="32"/>
      <c r="AK98" s="53"/>
      <c r="AL98" s="21" t="str">
        <f>IFERROR(VLOOKUP(March[[#This Row],[Drug Name5]],'Data Options'!$R$1:$S$100,2,FALSE), " ")</f>
        <v xml:space="preserve"> </v>
      </c>
      <c r="AM98" s="32"/>
      <c r="AN98" s="32"/>
      <c r="AO98" s="53"/>
      <c r="AP98" s="21" t="str">
        <f>IFERROR(VLOOKUP(March[[#This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21" t="str">
        <f>IFERROR(VLOOKUP(March[[#This Row],[Drug Name7]],'Data Options'!$R$1:$S$100,2,FALSE), " ")</f>
        <v xml:space="preserve"> </v>
      </c>
      <c r="AZ98" s="32"/>
      <c r="BA98" s="32"/>
      <c r="BB98" s="53"/>
      <c r="BC98" s="21" t="str">
        <f>IFERROR(VLOOKUP(March[[#This Row],[Drug Name8]],'Data Options'!$R$1:$S$100,2,FALSE), " ")</f>
        <v xml:space="preserve"> </v>
      </c>
      <c r="BD98" s="32"/>
      <c r="BE98" s="32"/>
      <c r="BF98" s="53"/>
      <c r="BG98" s="21" t="str">
        <f>IFERROR(VLOOKUP(March[[#This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21" t="str">
        <f>IFERROR(VLOOKUP(March[[#This Row],[Drug Name]],'Data Options'!$R$1:$S$100,2,FALSE), " ")</f>
        <v xml:space="preserve"> </v>
      </c>
      <c r="R99" s="32"/>
      <c r="S99" s="32"/>
      <c r="T99" s="53"/>
      <c r="U99" s="21" t="str">
        <f>IFERROR(VLOOKUP(March[[#This Row],[Drug Name2]],'Data Options'!$R$1:$S$100,2,FALSE), " ")</f>
        <v xml:space="preserve"> </v>
      </c>
      <c r="V99" s="32"/>
      <c r="W99" s="32"/>
      <c r="X99" s="53"/>
      <c r="Y99" s="21" t="str">
        <f>IFERROR(VLOOKUP(March[[#This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21" t="str">
        <f>IFERROR(VLOOKUP(March[[#This Row],[Drug Name4]],'Data Options'!$R$1:$S$100,2,FALSE), " ")</f>
        <v xml:space="preserve"> </v>
      </c>
      <c r="AI99" s="32"/>
      <c r="AJ99" s="32"/>
      <c r="AK99" s="53"/>
      <c r="AL99" s="21" t="str">
        <f>IFERROR(VLOOKUP(March[[#This Row],[Drug Name5]],'Data Options'!$R$1:$S$100,2,FALSE), " ")</f>
        <v xml:space="preserve"> </v>
      </c>
      <c r="AM99" s="32"/>
      <c r="AN99" s="32"/>
      <c r="AO99" s="53"/>
      <c r="AP99" s="21" t="str">
        <f>IFERROR(VLOOKUP(March[[#This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21" t="str">
        <f>IFERROR(VLOOKUP(March[[#This Row],[Drug Name7]],'Data Options'!$R$1:$S$100,2,FALSE), " ")</f>
        <v xml:space="preserve"> </v>
      </c>
      <c r="AZ99" s="32"/>
      <c r="BA99" s="32"/>
      <c r="BB99" s="53"/>
      <c r="BC99" s="21" t="str">
        <f>IFERROR(VLOOKUP(March[[#This Row],[Drug Name8]],'Data Options'!$R$1:$S$100,2,FALSE), " ")</f>
        <v xml:space="preserve"> </v>
      </c>
      <c r="BD99" s="32"/>
      <c r="BE99" s="32"/>
      <c r="BF99" s="53"/>
      <c r="BG99" s="21" t="str">
        <f>IFERROR(VLOOKUP(March[[#This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21" t="str">
        <f>IFERROR(VLOOKUP(March[[#This Row],[Drug Name]],'Data Options'!$R$1:$S$100,2,FALSE), " ")</f>
        <v xml:space="preserve"> </v>
      </c>
      <c r="R100" s="32"/>
      <c r="S100" s="32"/>
      <c r="T100" s="53"/>
      <c r="U100" s="21" t="str">
        <f>IFERROR(VLOOKUP(March[[#This Row],[Drug Name2]],'Data Options'!$R$1:$S$100,2,FALSE), " ")</f>
        <v xml:space="preserve"> </v>
      </c>
      <c r="V100" s="32"/>
      <c r="W100" s="32"/>
      <c r="X100" s="53"/>
      <c r="Y100" s="21" t="str">
        <f>IFERROR(VLOOKUP(March[[#This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21" t="str">
        <f>IFERROR(VLOOKUP(March[[#This Row],[Drug Name4]],'Data Options'!$R$1:$S$100,2,FALSE), " ")</f>
        <v xml:space="preserve"> </v>
      </c>
      <c r="AI100" s="32"/>
      <c r="AJ100" s="32"/>
      <c r="AK100" s="53"/>
      <c r="AL100" s="21" t="str">
        <f>IFERROR(VLOOKUP(March[[#This Row],[Drug Name5]],'Data Options'!$R$1:$S$100,2,FALSE), " ")</f>
        <v xml:space="preserve"> </v>
      </c>
      <c r="AM100" s="32"/>
      <c r="AN100" s="32"/>
      <c r="AO100" s="53"/>
      <c r="AP100" s="21" t="str">
        <f>IFERROR(VLOOKUP(March[[#This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21" t="str">
        <f>IFERROR(VLOOKUP(March[[#This Row],[Drug Name7]],'Data Options'!$R$1:$S$100,2,FALSE), " ")</f>
        <v xml:space="preserve"> </v>
      </c>
      <c r="AZ100" s="32"/>
      <c r="BA100" s="32"/>
      <c r="BB100" s="53"/>
      <c r="BC100" s="21" t="str">
        <f>IFERROR(VLOOKUP(March[[#This Row],[Drug Name8]],'Data Options'!$R$1:$S$100,2,FALSE), " ")</f>
        <v xml:space="preserve"> </v>
      </c>
      <c r="BD100" s="32"/>
      <c r="BE100" s="32"/>
      <c r="BF100" s="53"/>
      <c r="BG100" s="21" t="str">
        <f>IFERROR(VLOOKUP(March[[#This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21" t="str">
        <f>IFERROR(VLOOKUP(March[[#This Row],[Drug Name]],'Data Options'!$R$1:$S$100,2,FALSE), " ")</f>
        <v xml:space="preserve"> </v>
      </c>
      <c r="R101" s="32"/>
      <c r="S101" s="32"/>
      <c r="T101" s="53"/>
      <c r="U101" s="21" t="str">
        <f>IFERROR(VLOOKUP(March[[#This Row],[Drug Name2]],'Data Options'!$R$1:$S$100,2,FALSE), " ")</f>
        <v xml:space="preserve"> </v>
      </c>
      <c r="V101" s="32"/>
      <c r="W101" s="32"/>
      <c r="X101" s="53"/>
      <c r="Y101" s="21" t="str">
        <f>IFERROR(VLOOKUP(March[[#This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21" t="str">
        <f>IFERROR(VLOOKUP(March[[#This Row],[Drug Name4]],'Data Options'!$R$1:$S$100,2,FALSE), " ")</f>
        <v xml:space="preserve"> </v>
      </c>
      <c r="AI101" s="32"/>
      <c r="AJ101" s="32"/>
      <c r="AK101" s="53"/>
      <c r="AL101" s="21" t="str">
        <f>IFERROR(VLOOKUP(March[[#This Row],[Drug Name5]],'Data Options'!$R$1:$S$100,2,FALSE), " ")</f>
        <v xml:space="preserve"> </v>
      </c>
      <c r="AM101" s="32"/>
      <c r="AN101" s="32"/>
      <c r="AO101" s="53"/>
      <c r="AP101" s="21" t="str">
        <f>IFERROR(VLOOKUP(March[[#This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21" t="str">
        <f>IFERROR(VLOOKUP(March[[#This Row],[Drug Name7]],'Data Options'!$R$1:$S$100,2,FALSE), " ")</f>
        <v xml:space="preserve"> </v>
      </c>
      <c r="AZ101" s="32"/>
      <c r="BA101" s="32"/>
      <c r="BB101" s="53"/>
      <c r="BC101" s="21" t="str">
        <f>IFERROR(VLOOKUP(March[[#This Row],[Drug Name8]],'Data Options'!$R$1:$S$100,2,FALSE), " ")</f>
        <v xml:space="preserve"> </v>
      </c>
      <c r="BD101" s="32"/>
      <c r="BE101" s="32"/>
      <c r="BF101" s="53"/>
      <c r="BG101" s="21" t="str">
        <f>IFERROR(VLOOKUP(March[[#This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21" t="str">
        <f>IFERROR(VLOOKUP(March[[#This Row],[Drug Name]],'Data Options'!$R$1:$S$100,2,FALSE), " ")</f>
        <v xml:space="preserve"> </v>
      </c>
      <c r="R102" s="32"/>
      <c r="S102" s="32"/>
      <c r="T102" s="53"/>
      <c r="U102" s="21" t="str">
        <f>IFERROR(VLOOKUP(March[[#This Row],[Drug Name2]],'Data Options'!$R$1:$S$100,2,FALSE), " ")</f>
        <v xml:space="preserve"> </v>
      </c>
      <c r="V102" s="32"/>
      <c r="W102" s="32"/>
      <c r="X102" s="53"/>
      <c r="Y102" s="21" t="str">
        <f>IFERROR(VLOOKUP(March[[#This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21" t="str">
        <f>IFERROR(VLOOKUP(March[[#This Row],[Drug Name4]],'Data Options'!$R$1:$S$100,2,FALSE), " ")</f>
        <v xml:space="preserve"> </v>
      </c>
      <c r="AI102" s="32"/>
      <c r="AJ102" s="32"/>
      <c r="AK102" s="53"/>
      <c r="AL102" s="21" t="str">
        <f>IFERROR(VLOOKUP(March[[#This Row],[Drug Name5]],'Data Options'!$R$1:$S$100,2,FALSE), " ")</f>
        <v xml:space="preserve"> </v>
      </c>
      <c r="AM102" s="32"/>
      <c r="AN102" s="32"/>
      <c r="AO102" s="53"/>
      <c r="AP102" s="21" t="str">
        <f>IFERROR(VLOOKUP(March[[#This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21" t="str">
        <f>IFERROR(VLOOKUP(March[[#This Row],[Drug Name7]],'Data Options'!$R$1:$S$100,2,FALSE), " ")</f>
        <v xml:space="preserve"> </v>
      </c>
      <c r="AZ102" s="32"/>
      <c r="BA102" s="32"/>
      <c r="BB102" s="53"/>
      <c r="BC102" s="21" t="str">
        <f>IFERROR(VLOOKUP(March[[#This Row],[Drug Name8]],'Data Options'!$R$1:$S$100,2,FALSE), " ")</f>
        <v xml:space="preserve"> </v>
      </c>
      <c r="BD102" s="32"/>
      <c r="BE102" s="32"/>
      <c r="BF102" s="53"/>
      <c r="BG102" s="21" t="str">
        <f>IFERROR(VLOOKUP(March[[#This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21" t="str">
        <f>IFERROR(VLOOKUP(March[[#This Row],[Drug Name]],'Data Options'!$R$1:$S$100,2,FALSE), " ")</f>
        <v xml:space="preserve"> </v>
      </c>
      <c r="R103" s="32"/>
      <c r="S103" s="32"/>
      <c r="T103" s="53"/>
      <c r="U103" s="21" t="str">
        <f>IFERROR(VLOOKUP(March[[#This Row],[Drug Name2]],'Data Options'!$R$1:$S$100,2,FALSE), " ")</f>
        <v xml:space="preserve"> </v>
      </c>
      <c r="V103" s="32"/>
      <c r="W103" s="32"/>
      <c r="X103" s="53"/>
      <c r="Y103" s="21" t="str">
        <f>IFERROR(VLOOKUP(March[[#This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21" t="str">
        <f>IFERROR(VLOOKUP(March[[#This Row],[Drug Name4]],'Data Options'!$R$1:$S$100,2,FALSE), " ")</f>
        <v xml:space="preserve"> </v>
      </c>
      <c r="AI103" s="32"/>
      <c r="AJ103" s="32"/>
      <c r="AK103" s="53"/>
      <c r="AL103" s="21" t="str">
        <f>IFERROR(VLOOKUP(March[[#This Row],[Drug Name5]],'Data Options'!$R$1:$S$100,2,FALSE), " ")</f>
        <v xml:space="preserve"> </v>
      </c>
      <c r="AM103" s="32"/>
      <c r="AN103" s="32"/>
      <c r="AO103" s="53"/>
      <c r="AP103" s="21" t="str">
        <f>IFERROR(VLOOKUP(March[[#This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21" t="str">
        <f>IFERROR(VLOOKUP(March[[#This Row],[Drug Name7]],'Data Options'!$R$1:$S$100,2,FALSE), " ")</f>
        <v xml:space="preserve"> </v>
      </c>
      <c r="AZ103" s="32"/>
      <c r="BA103" s="32"/>
      <c r="BB103" s="53"/>
      <c r="BC103" s="21" t="str">
        <f>IFERROR(VLOOKUP(March[[#This Row],[Drug Name8]],'Data Options'!$R$1:$S$100,2,FALSE), " ")</f>
        <v xml:space="preserve"> </v>
      </c>
      <c r="BD103" s="32"/>
      <c r="BE103" s="32"/>
      <c r="BF103" s="53"/>
      <c r="BG103" s="21" t="str">
        <f>IFERROR(VLOOKUP(March[[#This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21" t="str">
        <f>IFERROR(VLOOKUP(March[[#This Row],[Drug Name]],'Data Options'!$R$1:$S$100,2,FALSE), " ")</f>
        <v xml:space="preserve"> </v>
      </c>
      <c r="R104" s="32"/>
      <c r="S104" s="32"/>
      <c r="T104" s="53"/>
      <c r="U104" s="21" t="str">
        <f>IFERROR(VLOOKUP(March[[#This Row],[Drug Name2]],'Data Options'!$R$1:$S$100,2,FALSE), " ")</f>
        <v xml:space="preserve"> </v>
      </c>
      <c r="V104" s="32"/>
      <c r="W104" s="32"/>
      <c r="X104" s="53"/>
      <c r="Y104" s="21" t="str">
        <f>IFERROR(VLOOKUP(March[[#This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21" t="str">
        <f>IFERROR(VLOOKUP(March[[#This Row],[Drug Name4]],'Data Options'!$R$1:$S$100,2,FALSE), " ")</f>
        <v xml:space="preserve"> </v>
      </c>
      <c r="AI104" s="32"/>
      <c r="AJ104" s="32"/>
      <c r="AK104" s="53"/>
      <c r="AL104" s="21" t="str">
        <f>IFERROR(VLOOKUP(March[[#This Row],[Drug Name5]],'Data Options'!$R$1:$S$100,2,FALSE), " ")</f>
        <v xml:space="preserve"> </v>
      </c>
      <c r="AM104" s="32"/>
      <c r="AN104" s="32"/>
      <c r="AO104" s="53"/>
      <c r="AP104" s="21" t="str">
        <f>IFERROR(VLOOKUP(March[[#This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21" t="str">
        <f>IFERROR(VLOOKUP(March[[#This Row],[Drug Name7]],'Data Options'!$R$1:$S$100,2,FALSE), " ")</f>
        <v xml:space="preserve"> </v>
      </c>
      <c r="AZ104" s="32"/>
      <c r="BA104" s="32"/>
      <c r="BB104" s="53"/>
      <c r="BC104" s="21" t="str">
        <f>IFERROR(VLOOKUP(March[[#This Row],[Drug Name8]],'Data Options'!$R$1:$S$100,2,FALSE), " ")</f>
        <v xml:space="preserve"> </v>
      </c>
      <c r="BD104" s="32"/>
      <c r="BE104" s="32"/>
      <c r="BF104" s="53"/>
      <c r="BG104" s="21" t="str">
        <f>IFERROR(VLOOKUP(March[[#This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21" t="str">
        <f>IFERROR(VLOOKUP(March[[#This Row],[Drug Name]],'Data Options'!$R$1:$S$100,2,FALSE), " ")</f>
        <v xml:space="preserve"> </v>
      </c>
      <c r="R105" s="32"/>
      <c r="S105" s="32"/>
      <c r="T105" s="53"/>
      <c r="U105" s="21" t="str">
        <f>IFERROR(VLOOKUP(March[[#This Row],[Drug Name2]],'Data Options'!$R$1:$S$100,2,FALSE), " ")</f>
        <v xml:space="preserve"> </v>
      </c>
      <c r="V105" s="32"/>
      <c r="W105" s="32"/>
      <c r="X105" s="53"/>
      <c r="Y105" s="21" t="str">
        <f>IFERROR(VLOOKUP(March[[#This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21" t="str">
        <f>IFERROR(VLOOKUP(March[[#This Row],[Drug Name4]],'Data Options'!$R$1:$S$100,2,FALSE), " ")</f>
        <v xml:space="preserve"> </v>
      </c>
      <c r="AI105" s="32"/>
      <c r="AJ105" s="32"/>
      <c r="AK105" s="53"/>
      <c r="AL105" s="21" t="str">
        <f>IFERROR(VLOOKUP(March[[#This Row],[Drug Name5]],'Data Options'!$R$1:$S$100,2,FALSE), " ")</f>
        <v xml:space="preserve"> </v>
      </c>
      <c r="AM105" s="32"/>
      <c r="AN105" s="32"/>
      <c r="AO105" s="53"/>
      <c r="AP105" s="21" t="str">
        <f>IFERROR(VLOOKUP(March[[#This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21" t="str">
        <f>IFERROR(VLOOKUP(March[[#This Row],[Drug Name7]],'Data Options'!$R$1:$S$100,2,FALSE), " ")</f>
        <v xml:space="preserve"> </v>
      </c>
      <c r="AZ105" s="32"/>
      <c r="BA105" s="32"/>
      <c r="BB105" s="53"/>
      <c r="BC105" s="21" t="str">
        <f>IFERROR(VLOOKUP(March[[#This Row],[Drug Name8]],'Data Options'!$R$1:$S$100,2,FALSE), " ")</f>
        <v xml:space="preserve"> </v>
      </c>
      <c r="BD105" s="32"/>
      <c r="BE105" s="32"/>
      <c r="BF105" s="53"/>
      <c r="BG105" s="21" t="str">
        <f>IFERROR(VLOOKUP(March[[#This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21" t="str">
        <f>IFERROR(VLOOKUP(March[[#This Row],[Drug Name]],'Data Options'!$R$1:$S$100,2,FALSE), " ")</f>
        <v xml:space="preserve"> </v>
      </c>
      <c r="R106" s="32"/>
      <c r="S106" s="32"/>
      <c r="T106" s="53"/>
      <c r="U106" s="21" t="str">
        <f>IFERROR(VLOOKUP(March[[#This Row],[Drug Name2]],'Data Options'!$R$1:$S$100,2,FALSE), " ")</f>
        <v xml:space="preserve"> </v>
      </c>
      <c r="V106" s="32"/>
      <c r="W106" s="32"/>
      <c r="X106" s="53"/>
      <c r="Y106" s="21" t="str">
        <f>IFERROR(VLOOKUP(March[[#This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21" t="str">
        <f>IFERROR(VLOOKUP(March[[#This Row],[Drug Name4]],'Data Options'!$R$1:$S$100,2,FALSE), " ")</f>
        <v xml:space="preserve"> </v>
      </c>
      <c r="AI106" s="32"/>
      <c r="AJ106" s="32"/>
      <c r="AK106" s="53"/>
      <c r="AL106" s="21" t="str">
        <f>IFERROR(VLOOKUP(March[[#This Row],[Drug Name5]],'Data Options'!$R$1:$S$100,2,FALSE), " ")</f>
        <v xml:space="preserve"> </v>
      </c>
      <c r="AM106" s="32"/>
      <c r="AN106" s="32"/>
      <c r="AO106" s="53"/>
      <c r="AP106" s="21" t="str">
        <f>IFERROR(VLOOKUP(March[[#This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21" t="str">
        <f>IFERROR(VLOOKUP(March[[#This Row],[Drug Name7]],'Data Options'!$R$1:$S$100,2,FALSE), " ")</f>
        <v xml:space="preserve"> </v>
      </c>
      <c r="AZ106" s="32"/>
      <c r="BA106" s="32"/>
      <c r="BB106" s="53"/>
      <c r="BC106" s="21" t="str">
        <f>IFERROR(VLOOKUP(March[[#This Row],[Drug Name8]],'Data Options'!$R$1:$S$100,2,FALSE), " ")</f>
        <v xml:space="preserve"> </v>
      </c>
      <c r="BD106" s="32"/>
      <c r="BE106" s="32"/>
      <c r="BF106" s="53"/>
      <c r="BG106" s="21" t="str">
        <f>IFERROR(VLOOKUP(March[[#This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21" t="str">
        <f>IFERROR(VLOOKUP(March[[#This Row],[Drug Name]],'Data Options'!$R$1:$S$100,2,FALSE), " ")</f>
        <v xml:space="preserve"> </v>
      </c>
      <c r="R107" s="32"/>
      <c r="S107" s="32"/>
      <c r="T107" s="53"/>
      <c r="U107" s="21" t="str">
        <f>IFERROR(VLOOKUP(March[[#This Row],[Drug Name2]],'Data Options'!$R$1:$S$100,2,FALSE), " ")</f>
        <v xml:space="preserve"> </v>
      </c>
      <c r="V107" s="32"/>
      <c r="W107" s="32"/>
      <c r="X107" s="53"/>
      <c r="Y107" s="21" t="str">
        <f>IFERROR(VLOOKUP(March[[#This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21" t="str">
        <f>IFERROR(VLOOKUP(March[[#This Row],[Drug Name4]],'Data Options'!$R$1:$S$100,2,FALSE), " ")</f>
        <v xml:space="preserve"> </v>
      </c>
      <c r="AI107" s="32"/>
      <c r="AJ107" s="32"/>
      <c r="AK107" s="53"/>
      <c r="AL107" s="21" t="str">
        <f>IFERROR(VLOOKUP(March[[#This Row],[Drug Name5]],'Data Options'!$R$1:$S$100,2,FALSE), " ")</f>
        <v xml:space="preserve"> </v>
      </c>
      <c r="AM107" s="32"/>
      <c r="AN107" s="32"/>
      <c r="AO107" s="53"/>
      <c r="AP107" s="21" t="str">
        <f>IFERROR(VLOOKUP(March[[#This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21" t="str">
        <f>IFERROR(VLOOKUP(March[[#This Row],[Drug Name7]],'Data Options'!$R$1:$S$100,2,FALSE), " ")</f>
        <v xml:space="preserve"> </v>
      </c>
      <c r="AZ107" s="32"/>
      <c r="BA107" s="32"/>
      <c r="BB107" s="53"/>
      <c r="BC107" s="21" t="str">
        <f>IFERROR(VLOOKUP(March[[#This Row],[Drug Name8]],'Data Options'!$R$1:$S$100,2,FALSE), " ")</f>
        <v xml:space="preserve"> </v>
      </c>
      <c r="BD107" s="32"/>
      <c r="BE107" s="32"/>
      <c r="BF107" s="53"/>
      <c r="BG107" s="21" t="str">
        <f>IFERROR(VLOOKUP(March[[#This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21" t="str">
        <f>IFERROR(VLOOKUP(March[[#This Row],[Drug Name]],'Data Options'!$R$1:$S$100,2,FALSE), " ")</f>
        <v xml:space="preserve"> </v>
      </c>
      <c r="R108" s="32"/>
      <c r="S108" s="32"/>
      <c r="T108" s="53"/>
      <c r="U108" s="21" t="str">
        <f>IFERROR(VLOOKUP(March[[#This Row],[Drug Name2]],'Data Options'!$R$1:$S$100,2,FALSE), " ")</f>
        <v xml:space="preserve"> </v>
      </c>
      <c r="V108" s="32"/>
      <c r="W108" s="32"/>
      <c r="X108" s="53"/>
      <c r="Y108" s="21" t="str">
        <f>IFERROR(VLOOKUP(March[[#This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21" t="str">
        <f>IFERROR(VLOOKUP(March[[#This Row],[Drug Name4]],'Data Options'!$R$1:$S$100,2,FALSE), " ")</f>
        <v xml:space="preserve"> </v>
      </c>
      <c r="AI108" s="32"/>
      <c r="AJ108" s="32"/>
      <c r="AK108" s="53"/>
      <c r="AL108" s="21" t="str">
        <f>IFERROR(VLOOKUP(March[[#This Row],[Drug Name5]],'Data Options'!$R$1:$S$100,2,FALSE), " ")</f>
        <v xml:space="preserve"> </v>
      </c>
      <c r="AM108" s="32"/>
      <c r="AN108" s="32"/>
      <c r="AO108" s="53"/>
      <c r="AP108" s="21" t="str">
        <f>IFERROR(VLOOKUP(March[[#This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21" t="str">
        <f>IFERROR(VLOOKUP(March[[#This Row],[Drug Name7]],'Data Options'!$R$1:$S$100,2,FALSE), " ")</f>
        <v xml:space="preserve"> </v>
      </c>
      <c r="AZ108" s="32"/>
      <c r="BA108" s="32"/>
      <c r="BB108" s="53"/>
      <c r="BC108" s="21" t="str">
        <f>IFERROR(VLOOKUP(March[[#This Row],[Drug Name8]],'Data Options'!$R$1:$S$100,2,FALSE), " ")</f>
        <v xml:space="preserve"> </v>
      </c>
      <c r="BD108" s="32"/>
      <c r="BE108" s="32"/>
      <c r="BF108" s="53"/>
      <c r="BG108" s="21" t="str">
        <f>IFERROR(VLOOKUP(March[[#This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21" t="str">
        <f>IFERROR(VLOOKUP(March[[#This Row],[Drug Name]],'Data Options'!$R$1:$S$100,2,FALSE), " ")</f>
        <v xml:space="preserve"> </v>
      </c>
      <c r="R109" s="32"/>
      <c r="S109" s="32"/>
      <c r="T109" s="53"/>
      <c r="U109" s="21" t="str">
        <f>IFERROR(VLOOKUP(March[[#This Row],[Drug Name2]],'Data Options'!$R$1:$S$100,2,FALSE), " ")</f>
        <v xml:space="preserve"> </v>
      </c>
      <c r="V109" s="32"/>
      <c r="W109" s="32"/>
      <c r="X109" s="53"/>
      <c r="Y109" s="21" t="str">
        <f>IFERROR(VLOOKUP(March[[#This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21" t="str">
        <f>IFERROR(VLOOKUP(March[[#This Row],[Drug Name4]],'Data Options'!$R$1:$S$100,2,FALSE), " ")</f>
        <v xml:space="preserve"> </v>
      </c>
      <c r="AI109" s="32"/>
      <c r="AJ109" s="32"/>
      <c r="AK109" s="53"/>
      <c r="AL109" s="21" t="str">
        <f>IFERROR(VLOOKUP(March[[#This Row],[Drug Name5]],'Data Options'!$R$1:$S$100,2,FALSE), " ")</f>
        <v xml:space="preserve"> </v>
      </c>
      <c r="AM109" s="32"/>
      <c r="AN109" s="32"/>
      <c r="AO109" s="53"/>
      <c r="AP109" s="21" t="str">
        <f>IFERROR(VLOOKUP(March[[#This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21" t="str">
        <f>IFERROR(VLOOKUP(March[[#This Row],[Drug Name7]],'Data Options'!$R$1:$S$100,2,FALSE), " ")</f>
        <v xml:space="preserve"> </v>
      </c>
      <c r="AZ109" s="32"/>
      <c r="BA109" s="32"/>
      <c r="BB109" s="53"/>
      <c r="BC109" s="21" t="str">
        <f>IFERROR(VLOOKUP(March[[#This Row],[Drug Name8]],'Data Options'!$R$1:$S$100,2,FALSE), " ")</f>
        <v xml:space="preserve"> </v>
      </c>
      <c r="BD109" s="32"/>
      <c r="BE109" s="32"/>
      <c r="BF109" s="53"/>
      <c r="BG109" s="21" t="str">
        <f>IFERROR(VLOOKUP(March[[#This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21" t="str">
        <f>IFERROR(VLOOKUP(March[[#This Row],[Drug Name]],'Data Options'!$R$1:$S$100,2,FALSE), " ")</f>
        <v xml:space="preserve"> </v>
      </c>
      <c r="R110" s="32"/>
      <c r="S110" s="32"/>
      <c r="T110" s="53"/>
      <c r="U110" s="21" t="str">
        <f>IFERROR(VLOOKUP(March[[#This Row],[Drug Name2]],'Data Options'!$R$1:$S$100,2,FALSE), " ")</f>
        <v xml:space="preserve"> </v>
      </c>
      <c r="V110" s="32"/>
      <c r="W110" s="32"/>
      <c r="X110" s="53"/>
      <c r="Y110" s="21" t="str">
        <f>IFERROR(VLOOKUP(March[[#This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21" t="str">
        <f>IFERROR(VLOOKUP(March[[#This Row],[Drug Name4]],'Data Options'!$R$1:$S$100,2,FALSE), " ")</f>
        <v xml:space="preserve"> </v>
      </c>
      <c r="AI110" s="32"/>
      <c r="AJ110" s="32"/>
      <c r="AK110" s="53"/>
      <c r="AL110" s="21" t="str">
        <f>IFERROR(VLOOKUP(March[[#This Row],[Drug Name5]],'Data Options'!$R$1:$S$100,2,FALSE), " ")</f>
        <v xml:space="preserve"> </v>
      </c>
      <c r="AM110" s="32"/>
      <c r="AN110" s="32"/>
      <c r="AO110" s="53"/>
      <c r="AP110" s="21" t="str">
        <f>IFERROR(VLOOKUP(March[[#This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21" t="str">
        <f>IFERROR(VLOOKUP(March[[#This Row],[Drug Name7]],'Data Options'!$R$1:$S$100,2,FALSE), " ")</f>
        <v xml:space="preserve"> </v>
      </c>
      <c r="AZ110" s="32"/>
      <c r="BA110" s="32"/>
      <c r="BB110" s="53"/>
      <c r="BC110" s="21" t="str">
        <f>IFERROR(VLOOKUP(March[[#This Row],[Drug Name8]],'Data Options'!$R$1:$S$100,2,FALSE), " ")</f>
        <v xml:space="preserve"> </v>
      </c>
      <c r="BD110" s="32"/>
      <c r="BE110" s="32"/>
      <c r="BF110" s="53"/>
      <c r="BG110" s="21" t="str">
        <f>IFERROR(VLOOKUP(March[[#This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21" t="str">
        <f>IFERROR(VLOOKUP(March[[#This Row],[Drug Name]],'Data Options'!$R$1:$S$100,2,FALSE), " ")</f>
        <v xml:space="preserve"> </v>
      </c>
      <c r="R111" s="32"/>
      <c r="S111" s="32"/>
      <c r="T111" s="53"/>
      <c r="U111" s="21" t="str">
        <f>IFERROR(VLOOKUP(March[[#This Row],[Drug Name2]],'Data Options'!$R$1:$S$100,2,FALSE), " ")</f>
        <v xml:space="preserve"> </v>
      </c>
      <c r="V111" s="32"/>
      <c r="W111" s="32"/>
      <c r="X111" s="53"/>
      <c r="Y111" s="21" t="str">
        <f>IFERROR(VLOOKUP(March[[#This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21" t="str">
        <f>IFERROR(VLOOKUP(March[[#This Row],[Drug Name4]],'Data Options'!$R$1:$S$100,2,FALSE), " ")</f>
        <v xml:space="preserve"> </v>
      </c>
      <c r="AI111" s="32"/>
      <c r="AJ111" s="32"/>
      <c r="AK111" s="53"/>
      <c r="AL111" s="21" t="str">
        <f>IFERROR(VLOOKUP(March[[#This Row],[Drug Name5]],'Data Options'!$R$1:$S$100,2,FALSE), " ")</f>
        <v xml:space="preserve"> </v>
      </c>
      <c r="AM111" s="32"/>
      <c r="AN111" s="32"/>
      <c r="AO111" s="53"/>
      <c r="AP111" s="21" t="str">
        <f>IFERROR(VLOOKUP(March[[#This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21" t="str">
        <f>IFERROR(VLOOKUP(March[[#This Row],[Drug Name7]],'Data Options'!$R$1:$S$100,2,FALSE), " ")</f>
        <v xml:space="preserve"> </v>
      </c>
      <c r="AZ111" s="32"/>
      <c r="BA111" s="32"/>
      <c r="BB111" s="53"/>
      <c r="BC111" s="21" t="str">
        <f>IFERROR(VLOOKUP(March[[#This Row],[Drug Name8]],'Data Options'!$R$1:$S$100,2,FALSE), " ")</f>
        <v xml:space="preserve"> </v>
      </c>
      <c r="BD111" s="32"/>
      <c r="BE111" s="32"/>
      <c r="BF111" s="53"/>
      <c r="BG111" s="21" t="str">
        <f>IFERROR(VLOOKUP(March[[#This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21" t="str">
        <f>IFERROR(VLOOKUP(March[[#This Row],[Drug Name]],'Data Options'!$R$1:$S$100,2,FALSE), " ")</f>
        <v xml:space="preserve"> </v>
      </c>
      <c r="R112" s="32"/>
      <c r="S112" s="32"/>
      <c r="T112" s="53"/>
      <c r="U112" s="21" t="str">
        <f>IFERROR(VLOOKUP(March[[#This Row],[Drug Name2]],'Data Options'!$R$1:$S$100,2,FALSE), " ")</f>
        <v xml:space="preserve"> </v>
      </c>
      <c r="V112" s="32"/>
      <c r="W112" s="32"/>
      <c r="X112" s="53"/>
      <c r="Y112" s="21" t="str">
        <f>IFERROR(VLOOKUP(March[[#This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21" t="str">
        <f>IFERROR(VLOOKUP(March[[#This Row],[Drug Name4]],'Data Options'!$R$1:$S$100,2,FALSE), " ")</f>
        <v xml:space="preserve"> </v>
      </c>
      <c r="AI112" s="32"/>
      <c r="AJ112" s="32"/>
      <c r="AK112" s="53"/>
      <c r="AL112" s="21" t="str">
        <f>IFERROR(VLOOKUP(March[[#This Row],[Drug Name5]],'Data Options'!$R$1:$S$100,2,FALSE), " ")</f>
        <v xml:space="preserve"> </v>
      </c>
      <c r="AM112" s="32"/>
      <c r="AN112" s="32"/>
      <c r="AO112" s="53"/>
      <c r="AP112" s="21" t="str">
        <f>IFERROR(VLOOKUP(March[[#This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21" t="str">
        <f>IFERROR(VLOOKUP(March[[#This Row],[Drug Name7]],'Data Options'!$R$1:$S$100,2,FALSE), " ")</f>
        <v xml:space="preserve"> </v>
      </c>
      <c r="AZ112" s="32"/>
      <c r="BA112" s="32"/>
      <c r="BB112" s="53"/>
      <c r="BC112" s="21" t="str">
        <f>IFERROR(VLOOKUP(March[[#This Row],[Drug Name8]],'Data Options'!$R$1:$S$100,2,FALSE), " ")</f>
        <v xml:space="preserve"> </v>
      </c>
      <c r="BD112" s="32"/>
      <c r="BE112" s="32"/>
      <c r="BF112" s="53"/>
      <c r="BG112" s="21" t="str">
        <f>IFERROR(VLOOKUP(March[[#This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21" t="str">
        <f>IFERROR(VLOOKUP(March[[#This Row],[Drug Name]],'Data Options'!$R$1:$S$100,2,FALSE), " ")</f>
        <v xml:space="preserve"> </v>
      </c>
      <c r="R113" s="32"/>
      <c r="S113" s="32"/>
      <c r="T113" s="53"/>
      <c r="U113" s="21" t="str">
        <f>IFERROR(VLOOKUP(March[[#This Row],[Drug Name2]],'Data Options'!$R$1:$S$100,2,FALSE), " ")</f>
        <v xml:space="preserve"> </v>
      </c>
      <c r="V113" s="32"/>
      <c r="W113" s="32"/>
      <c r="X113" s="53"/>
      <c r="Y113" s="21" t="str">
        <f>IFERROR(VLOOKUP(March[[#This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21" t="str">
        <f>IFERROR(VLOOKUP(March[[#This Row],[Drug Name4]],'Data Options'!$R$1:$S$100,2,FALSE), " ")</f>
        <v xml:space="preserve"> </v>
      </c>
      <c r="AI113" s="32"/>
      <c r="AJ113" s="32"/>
      <c r="AK113" s="53"/>
      <c r="AL113" s="21" t="str">
        <f>IFERROR(VLOOKUP(March[[#This Row],[Drug Name5]],'Data Options'!$R$1:$S$100,2,FALSE), " ")</f>
        <v xml:space="preserve"> </v>
      </c>
      <c r="AM113" s="32"/>
      <c r="AN113" s="32"/>
      <c r="AO113" s="53"/>
      <c r="AP113" s="21" t="str">
        <f>IFERROR(VLOOKUP(March[[#This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21" t="str">
        <f>IFERROR(VLOOKUP(March[[#This Row],[Drug Name7]],'Data Options'!$R$1:$S$100,2,FALSE), " ")</f>
        <v xml:space="preserve"> </v>
      </c>
      <c r="AZ113" s="32"/>
      <c r="BA113" s="32"/>
      <c r="BB113" s="53"/>
      <c r="BC113" s="21" t="str">
        <f>IFERROR(VLOOKUP(March[[#This Row],[Drug Name8]],'Data Options'!$R$1:$S$100,2,FALSE), " ")</f>
        <v xml:space="preserve"> </v>
      </c>
      <c r="BD113" s="32"/>
      <c r="BE113" s="32"/>
      <c r="BF113" s="53"/>
      <c r="BG113" s="21" t="str">
        <f>IFERROR(VLOOKUP(March[[#This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21" t="str">
        <f>IFERROR(VLOOKUP(March[[#This Row],[Drug Name]],'Data Options'!$R$1:$S$100,2,FALSE), " ")</f>
        <v xml:space="preserve"> </v>
      </c>
      <c r="R114" s="32"/>
      <c r="S114" s="32"/>
      <c r="T114" s="53"/>
      <c r="U114" s="21" t="str">
        <f>IFERROR(VLOOKUP(March[[#This Row],[Drug Name2]],'Data Options'!$R$1:$S$100,2,FALSE), " ")</f>
        <v xml:space="preserve"> </v>
      </c>
      <c r="V114" s="32"/>
      <c r="W114" s="32"/>
      <c r="X114" s="53"/>
      <c r="Y114" s="21" t="str">
        <f>IFERROR(VLOOKUP(March[[#This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21" t="str">
        <f>IFERROR(VLOOKUP(March[[#This Row],[Drug Name4]],'Data Options'!$R$1:$S$100,2,FALSE), " ")</f>
        <v xml:space="preserve"> </v>
      </c>
      <c r="AI114" s="32"/>
      <c r="AJ114" s="32"/>
      <c r="AK114" s="53"/>
      <c r="AL114" s="21" t="str">
        <f>IFERROR(VLOOKUP(March[[#This Row],[Drug Name5]],'Data Options'!$R$1:$S$100,2,FALSE), " ")</f>
        <v xml:space="preserve"> </v>
      </c>
      <c r="AM114" s="32"/>
      <c r="AN114" s="32"/>
      <c r="AO114" s="53"/>
      <c r="AP114" s="21" t="str">
        <f>IFERROR(VLOOKUP(March[[#This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21" t="str">
        <f>IFERROR(VLOOKUP(March[[#This Row],[Drug Name7]],'Data Options'!$R$1:$S$100,2,FALSE), " ")</f>
        <v xml:space="preserve"> </v>
      </c>
      <c r="AZ114" s="32"/>
      <c r="BA114" s="32"/>
      <c r="BB114" s="53"/>
      <c r="BC114" s="21" t="str">
        <f>IFERROR(VLOOKUP(March[[#This Row],[Drug Name8]],'Data Options'!$R$1:$S$100,2,FALSE), " ")</f>
        <v xml:space="preserve"> </v>
      </c>
      <c r="BD114" s="32"/>
      <c r="BE114" s="32"/>
      <c r="BF114" s="53"/>
      <c r="BG114" s="21" t="str">
        <f>IFERROR(VLOOKUP(March[[#This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21" t="str">
        <f>IFERROR(VLOOKUP(March[[#This Row],[Drug Name]],'Data Options'!$R$1:$S$100,2,FALSE), " ")</f>
        <v xml:space="preserve"> </v>
      </c>
      <c r="R115" s="32"/>
      <c r="S115" s="32"/>
      <c r="T115" s="53"/>
      <c r="U115" s="21" t="str">
        <f>IFERROR(VLOOKUP(March[[#This Row],[Drug Name2]],'Data Options'!$R$1:$S$100,2,FALSE), " ")</f>
        <v xml:space="preserve"> </v>
      </c>
      <c r="V115" s="32"/>
      <c r="W115" s="32"/>
      <c r="X115" s="53"/>
      <c r="Y115" s="21" t="str">
        <f>IFERROR(VLOOKUP(March[[#This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21" t="str">
        <f>IFERROR(VLOOKUP(March[[#This Row],[Drug Name4]],'Data Options'!$R$1:$S$100,2,FALSE), " ")</f>
        <v xml:space="preserve"> </v>
      </c>
      <c r="AI115" s="32"/>
      <c r="AJ115" s="32"/>
      <c r="AK115" s="53"/>
      <c r="AL115" s="21" t="str">
        <f>IFERROR(VLOOKUP(March[[#This Row],[Drug Name5]],'Data Options'!$R$1:$S$100,2,FALSE), " ")</f>
        <v xml:space="preserve"> </v>
      </c>
      <c r="AM115" s="32"/>
      <c r="AN115" s="32"/>
      <c r="AO115" s="53"/>
      <c r="AP115" s="21" t="str">
        <f>IFERROR(VLOOKUP(March[[#This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21" t="str">
        <f>IFERROR(VLOOKUP(March[[#This Row],[Drug Name7]],'Data Options'!$R$1:$S$100,2,FALSE), " ")</f>
        <v xml:space="preserve"> </v>
      </c>
      <c r="AZ115" s="32"/>
      <c r="BA115" s="32"/>
      <c r="BB115" s="53"/>
      <c r="BC115" s="21" t="str">
        <f>IFERROR(VLOOKUP(March[[#This Row],[Drug Name8]],'Data Options'!$R$1:$S$100,2,FALSE), " ")</f>
        <v xml:space="preserve"> </v>
      </c>
      <c r="BD115" s="32"/>
      <c r="BE115" s="32"/>
      <c r="BF115" s="53"/>
      <c r="BG115" s="21" t="str">
        <f>IFERROR(VLOOKUP(March[[#This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21" t="str">
        <f>IFERROR(VLOOKUP(March[[#This Row],[Drug Name]],'Data Options'!$R$1:$S$100,2,FALSE), " ")</f>
        <v xml:space="preserve"> </v>
      </c>
      <c r="R116" s="32"/>
      <c r="S116" s="32"/>
      <c r="T116" s="53"/>
      <c r="U116" s="21" t="str">
        <f>IFERROR(VLOOKUP(March[[#This Row],[Drug Name2]],'Data Options'!$R$1:$S$100,2,FALSE), " ")</f>
        <v xml:space="preserve"> </v>
      </c>
      <c r="V116" s="32"/>
      <c r="W116" s="32"/>
      <c r="X116" s="53"/>
      <c r="Y116" s="21" t="str">
        <f>IFERROR(VLOOKUP(March[[#This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21" t="str">
        <f>IFERROR(VLOOKUP(March[[#This Row],[Drug Name4]],'Data Options'!$R$1:$S$100,2,FALSE), " ")</f>
        <v xml:space="preserve"> </v>
      </c>
      <c r="AI116" s="32"/>
      <c r="AJ116" s="32"/>
      <c r="AK116" s="53"/>
      <c r="AL116" s="21" t="str">
        <f>IFERROR(VLOOKUP(March[[#This Row],[Drug Name5]],'Data Options'!$R$1:$S$100,2,FALSE), " ")</f>
        <v xml:space="preserve"> </v>
      </c>
      <c r="AM116" s="32"/>
      <c r="AN116" s="32"/>
      <c r="AO116" s="53"/>
      <c r="AP116" s="21" t="str">
        <f>IFERROR(VLOOKUP(March[[#This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21" t="str">
        <f>IFERROR(VLOOKUP(March[[#This Row],[Drug Name7]],'Data Options'!$R$1:$S$100,2,FALSE), " ")</f>
        <v xml:space="preserve"> </v>
      </c>
      <c r="AZ116" s="32"/>
      <c r="BA116" s="32"/>
      <c r="BB116" s="53"/>
      <c r="BC116" s="21" t="str">
        <f>IFERROR(VLOOKUP(March[[#This Row],[Drug Name8]],'Data Options'!$R$1:$S$100,2,FALSE), " ")</f>
        <v xml:space="preserve"> </v>
      </c>
      <c r="BD116" s="32"/>
      <c r="BE116" s="32"/>
      <c r="BF116" s="53"/>
      <c r="BG116" s="21" t="str">
        <f>IFERROR(VLOOKUP(March[[#This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21" t="str">
        <f>IFERROR(VLOOKUP(March[[#This Row],[Drug Name]],'Data Options'!$R$1:$S$100,2,FALSE), " ")</f>
        <v xml:space="preserve"> </v>
      </c>
      <c r="R117" s="32"/>
      <c r="S117" s="32"/>
      <c r="T117" s="53"/>
      <c r="U117" s="21" t="str">
        <f>IFERROR(VLOOKUP(March[[#This Row],[Drug Name2]],'Data Options'!$R$1:$S$100,2,FALSE), " ")</f>
        <v xml:space="preserve"> </v>
      </c>
      <c r="V117" s="32"/>
      <c r="W117" s="32"/>
      <c r="X117" s="53"/>
      <c r="Y117" s="21" t="str">
        <f>IFERROR(VLOOKUP(March[[#This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21" t="str">
        <f>IFERROR(VLOOKUP(March[[#This Row],[Drug Name4]],'Data Options'!$R$1:$S$100,2,FALSE), " ")</f>
        <v xml:space="preserve"> </v>
      </c>
      <c r="AI117" s="32"/>
      <c r="AJ117" s="32"/>
      <c r="AK117" s="53"/>
      <c r="AL117" s="21" t="str">
        <f>IFERROR(VLOOKUP(March[[#This Row],[Drug Name5]],'Data Options'!$R$1:$S$100,2,FALSE), " ")</f>
        <v xml:space="preserve"> </v>
      </c>
      <c r="AM117" s="32"/>
      <c r="AN117" s="32"/>
      <c r="AO117" s="53"/>
      <c r="AP117" s="21" t="str">
        <f>IFERROR(VLOOKUP(March[[#This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21" t="str">
        <f>IFERROR(VLOOKUP(March[[#This Row],[Drug Name7]],'Data Options'!$R$1:$S$100,2,FALSE), " ")</f>
        <v xml:space="preserve"> </v>
      </c>
      <c r="AZ117" s="32"/>
      <c r="BA117" s="32"/>
      <c r="BB117" s="53"/>
      <c r="BC117" s="21" t="str">
        <f>IFERROR(VLOOKUP(March[[#This Row],[Drug Name8]],'Data Options'!$R$1:$S$100,2,FALSE), " ")</f>
        <v xml:space="preserve"> </v>
      </c>
      <c r="BD117" s="32"/>
      <c r="BE117" s="32"/>
      <c r="BF117" s="53"/>
      <c r="BG117" s="21" t="str">
        <f>IFERROR(VLOOKUP(March[[#This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21" t="str">
        <f>IFERROR(VLOOKUP(March[[#This Row],[Drug Name]],'Data Options'!$R$1:$S$100,2,FALSE), " ")</f>
        <v xml:space="preserve"> </v>
      </c>
      <c r="R118" s="32"/>
      <c r="S118" s="32"/>
      <c r="T118" s="53"/>
      <c r="U118" s="21" t="str">
        <f>IFERROR(VLOOKUP(March[[#This Row],[Drug Name2]],'Data Options'!$R$1:$S$100,2,FALSE), " ")</f>
        <v xml:space="preserve"> </v>
      </c>
      <c r="V118" s="32"/>
      <c r="W118" s="32"/>
      <c r="X118" s="53"/>
      <c r="Y118" s="21" t="str">
        <f>IFERROR(VLOOKUP(March[[#This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21" t="str">
        <f>IFERROR(VLOOKUP(March[[#This Row],[Drug Name4]],'Data Options'!$R$1:$S$100,2,FALSE), " ")</f>
        <v xml:space="preserve"> </v>
      </c>
      <c r="AI118" s="32"/>
      <c r="AJ118" s="32"/>
      <c r="AK118" s="53"/>
      <c r="AL118" s="21" t="str">
        <f>IFERROR(VLOOKUP(March[[#This Row],[Drug Name5]],'Data Options'!$R$1:$S$100,2,FALSE), " ")</f>
        <v xml:space="preserve"> </v>
      </c>
      <c r="AM118" s="32"/>
      <c r="AN118" s="32"/>
      <c r="AO118" s="53"/>
      <c r="AP118" s="21" t="str">
        <f>IFERROR(VLOOKUP(March[[#This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21" t="str">
        <f>IFERROR(VLOOKUP(March[[#This Row],[Drug Name7]],'Data Options'!$R$1:$S$100,2,FALSE), " ")</f>
        <v xml:space="preserve"> </v>
      </c>
      <c r="AZ118" s="32"/>
      <c r="BA118" s="32"/>
      <c r="BB118" s="53"/>
      <c r="BC118" s="21" t="str">
        <f>IFERROR(VLOOKUP(March[[#This Row],[Drug Name8]],'Data Options'!$R$1:$S$100,2,FALSE), " ")</f>
        <v xml:space="preserve"> </v>
      </c>
      <c r="BD118" s="32"/>
      <c r="BE118" s="32"/>
      <c r="BF118" s="53"/>
      <c r="BG118" s="21" t="str">
        <f>IFERROR(VLOOKUP(March[[#This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21" t="str">
        <f>IFERROR(VLOOKUP(March[[#This Row],[Drug Name]],'Data Options'!$R$1:$S$100,2,FALSE), " ")</f>
        <v xml:space="preserve"> </v>
      </c>
      <c r="R119" s="32"/>
      <c r="S119" s="32"/>
      <c r="T119" s="53"/>
      <c r="U119" s="21" t="str">
        <f>IFERROR(VLOOKUP(March[[#This Row],[Drug Name2]],'Data Options'!$R$1:$S$100,2,FALSE), " ")</f>
        <v xml:space="preserve"> </v>
      </c>
      <c r="V119" s="32"/>
      <c r="W119" s="32"/>
      <c r="X119" s="53"/>
      <c r="Y119" s="21" t="str">
        <f>IFERROR(VLOOKUP(March[[#This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21" t="str">
        <f>IFERROR(VLOOKUP(March[[#This Row],[Drug Name4]],'Data Options'!$R$1:$S$100,2,FALSE), " ")</f>
        <v xml:space="preserve"> </v>
      </c>
      <c r="AI119" s="32"/>
      <c r="AJ119" s="32"/>
      <c r="AK119" s="53"/>
      <c r="AL119" s="21" t="str">
        <f>IFERROR(VLOOKUP(March[[#This Row],[Drug Name5]],'Data Options'!$R$1:$S$100,2,FALSE), " ")</f>
        <v xml:space="preserve"> </v>
      </c>
      <c r="AM119" s="32"/>
      <c r="AN119" s="32"/>
      <c r="AO119" s="53"/>
      <c r="AP119" s="21" t="str">
        <f>IFERROR(VLOOKUP(March[[#This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21" t="str">
        <f>IFERROR(VLOOKUP(March[[#This Row],[Drug Name7]],'Data Options'!$R$1:$S$100,2,FALSE), " ")</f>
        <v xml:space="preserve"> </v>
      </c>
      <c r="AZ119" s="32"/>
      <c r="BA119" s="32"/>
      <c r="BB119" s="53"/>
      <c r="BC119" s="21" t="str">
        <f>IFERROR(VLOOKUP(March[[#This Row],[Drug Name8]],'Data Options'!$R$1:$S$100,2,FALSE), " ")</f>
        <v xml:space="preserve"> </v>
      </c>
      <c r="BD119" s="32"/>
      <c r="BE119" s="32"/>
      <c r="BF119" s="53"/>
      <c r="BG119" s="21" t="str">
        <f>IFERROR(VLOOKUP(March[[#This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21" t="str">
        <f>IFERROR(VLOOKUP(March[[#This Row],[Drug Name]],'Data Options'!$R$1:$S$100,2,FALSE), " ")</f>
        <v xml:space="preserve"> </v>
      </c>
      <c r="R120" s="32"/>
      <c r="S120" s="32"/>
      <c r="T120" s="53"/>
      <c r="U120" s="21" t="str">
        <f>IFERROR(VLOOKUP(March[[#This Row],[Drug Name2]],'Data Options'!$R$1:$S$100,2,FALSE), " ")</f>
        <v xml:space="preserve"> </v>
      </c>
      <c r="V120" s="32"/>
      <c r="W120" s="32"/>
      <c r="X120" s="53"/>
      <c r="Y120" s="21" t="str">
        <f>IFERROR(VLOOKUP(March[[#This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21" t="str">
        <f>IFERROR(VLOOKUP(March[[#This Row],[Drug Name4]],'Data Options'!$R$1:$S$100,2,FALSE), " ")</f>
        <v xml:space="preserve"> </v>
      </c>
      <c r="AI120" s="32"/>
      <c r="AJ120" s="32"/>
      <c r="AK120" s="53"/>
      <c r="AL120" s="21" t="str">
        <f>IFERROR(VLOOKUP(March[[#This Row],[Drug Name5]],'Data Options'!$R$1:$S$100,2,FALSE), " ")</f>
        <v xml:space="preserve"> </v>
      </c>
      <c r="AM120" s="32"/>
      <c r="AN120" s="32"/>
      <c r="AO120" s="53"/>
      <c r="AP120" s="21" t="str">
        <f>IFERROR(VLOOKUP(March[[#This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21" t="str">
        <f>IFERROR(VLOOKUP(March[[#This Row],[Drug Name7]],'Data Options'!$R$1:$S$100,2,FALSE), " ")</f>
        <v xml:space="preserve"> </v>
      </c>
      <c r="AZ120" s="32"/>
      <c r="BA120" s="32"/>
      <c r="BB120" s="53"/>
      <c r="BC120" s="21" t="str">
        <f>IFERROR(VLOOKUP(March[[#This Row],[Drug Name8]],'Data Options'!$R$1:$S$100,2,FALSE), " ")</f>
        <v xml:space="preserve"> </v>
      </c>
      <c r="BD120" s="32"/>
      <c r="BE120" s="32"/>
      <c r="BF120" s="53"/>
      <c r="BG120" s="21" t="str">
        <f>IFERROR(VLOOKUP(March[[#This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21" t="str">
        <f>IFERROR(VLOOKUP(March[[#This Row],[Drug Name]],'Data Options'!$R$1:$S$100,2,FALSE), " ")</f>
        <v xml:space="preserve"> </v>
      </c>
      <c r="R121" s="32"/>
      <c r="S121" s="32"/>
      <c r="T121" s="53"/>
      <c r="U121" s="21" t="str">
        <f>IFERROR(VLOOKUP(March[[#This Row],[Drug Name2]],'Data Options'!$R$1:$S$100,2,FALSE), " ")</f>
        <v xml:space="preserve"> </v>
      </c>
      <c r="V121" s="32"/>
      <c r="W121" s="32"/>
      <c r="X121" s="53"/>
      <c r="Y121" s="21" t="str">
        <f>IFERROR(VLOOKUP(March[[#This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21" t="str">
        <f>IFERROR(VLOOKUP(March[[#This Row],[Drug Name4]],'Data Options'!$R$1:$S$100,2,FALSE), " ")</f>
        <v xml:space="preserve"> </v>
      </c>
      <c r="AI121" s="32"/>
      <c r="AJ121" s="32"/>
      <c r="AK121" s="53"/>
      <c r="AL121" s="21" t="str">
        <f>IFERROR(VLOOKUP(March[[#This Row],[Drug Name5]],'Data Options'!$R$1:$S$100,2,FALSE), " ")</f>
        <v xml:space="preserve"> </v>
      </c>
      <c r="AM121" s="32"/>
      <c r="AN121" s="32"/>
      <c r="AO121" s="53"/>
      <c r="AP121" s="21" t="str">
        <f>IFERROR(VLOOKUP(March[[#This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21" t="str">
        <f>IFERROR(VLOOKUP(March[[#This Row],[Drug Name7]],'Data Options'!$R$1:$S$100,2,FALSE), " ")</f>
        <v xml:space="preserve"> </v>
      </c>
      <c r="AZ121" s="32"/>
      <c r="BA121" s="32"/>
      <c r="BB121" s="53"/>
      <c r="BC121" s="21" t="str">
        <f>IFERROR(VLOOKUP(March[[#This Row],[Drug Name8]],'Data Options'!$R$1:$S$100,2,FALSE), " ")</f>
        <v xml:space="preserve"> </v>
      </c>
      <c r="BD121" s="32"/>
      <c r="BE121" s="32"/>
      <c r="BF121" s="53"/>
      <c r="BG121" s="21" t="str">
        <f>IFERROR(VLOOKUP(March[[#This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21" t="str">
        <f>IFERROR(VLOOKUP(March[[#This Row],[Drug Name]],'Data Options'!$R$1:$S$100,2,FALSE), " ")</f>
        <v xml:space="preserve"> </v>
      </c>
      <c r="R122" s="32"/>
      <c r="S122" s="32"/>
      <c r="T122" s="53"/>
      <c r="U122" s="21" t="str">
        <f>IFERROR(VLOOKUP(March[[#This Row],[Drug Name2]],'Data Options'!$R$1:$S$100,2,FALSE), " ")</f>
        <v xml:space="preserve"> </v>
      </c>
      <c r="V122" s="32"/>
      <c r="W122" s="32"/>
      <c r="X122" s="53"/>
      <c r="Y122" s="21" t="str">
        <f>IFERROR(VLOOKUP(March[[#This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21" t="str">
        <f>IFERROR(VLOOKUP(March[[#This Row],[Drug Name4]],'Data Options'!$R$1:$S$100,2,FALSE), " ")</f>
        <v xml:space="preserve"> </v>
      </c>
      <c r="AI122" s="32"/>
      <c r="AJ122" s="32"/>
      <c r="AK122" s="53"/>
      <c r="AL122" s="21" t="str">
        <f>IFERROR(VLOOKUP(March[[#This Row],[Drug Name5]],'Data Options'!$R$1:$S$100,2,FALSE), " ")</f>
        <v xml:space="preserve"> </v>
      </c>
      <c r="AM122" s="32"/>
      <c r="AN122" s="32"/>
      <c r="AO122" s="53"/>
      <c r="AP122" s="21" t="str">
        <f>IFERROR(VLOOKUP(March[[#This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21" t="str">
        <f>IFERROR(VLOOKUP(March[[#This Row],[Drug Name7]],'Data Options'!$R$1:$S$100,2,FALSE), " ")</f>
        <v xml:space="preserve"> </v>
      </c>
      <c r="AZ122" s="32"/>
      <c r="BA122" s="32"/>
      <c r="BB122" s="53"/>
      <c r="BC122" s="21" t="str">
        <f>IFERROR(VLOOKUP(March[[#This Row],[Drug Name8]],'Data Options'!$R$1:$S$100,2,FALSE), " ")</f>
        <v xml:space="preserve"> </v>
      </c>
      <c r="BD122" s="32"/>
      <c r="BE122" s="32"/>
      <c r="BF122" s="53"/>
      <c r="BG122" s="21" t="str">
        <f>IFERROR(VLOOKUP(March[[#This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21" t="str">
        <f>IFERROR(VLOOKUP(March[[#This Row],[Drug Name]],'Data Options'!$R$1:$S$100,2,FALSE), " ")</f>
        <v xml:space="preserve"> </v>
      </c>
      <c r="R123" s="32"/>
      <c r="S123" s="32"/>
      <c r="T123" s="53"/>
      <c r="U123" s="21" t="str">
        <f>IFERROR(VLOOKUP(March[[#This Row],[Drug Name2]],'Data Options'!$R$1:$S$100,2,FALSE), " ")</f>
        <v xml:space="preserve"> </v>
      </c>
      <c r="V123" s="32"/>
      <c r="W123" s="32"/>
      <c r="X123" s="53"/>
      <c r="Y123" s="21" t="str">
        <f>IFERROR(VLOOKUP(March[[#This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21" t="str">
        <f>IFERROR(VLOOKUP(March[[#This Row],[Drug Name4]],'Data Options'!$R$1:$S$100,2,FALSE), " ")</f>
        <v xml:space="preserve"> </v>
      </c>
      <c r="AI123" s="32"/>
      <c r="AJ123" s="32"/>
      <c r="AK123" s="53"/>
      <c r="AL123" s="21" t="str">
        <f>IFERROR(VLOOKUP(March[[#This Row],[Drug Name5]],'Data Options'!$R$1:$S$100,2,FALSE), " ")</f>
        <v xml:space="preserve"> </v>
      </c>
      <c r="AM123" s="32"/>
      <c r="AN123" s="32"/>
      <c r="AO123" s="53"/>
      <c r="AP123" s="21" t="str">
        <f>IFERROR(VLOOKUP(March[[#This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21" t="str">
        <f>IFERROR(VLOOKUP(March[[#This Row],[Drug Name7]],'Data Options'!$R$1:$S$100,2,FALSE), " ")</f>
        <v xml:space="preserve"> </v>
      </c>
      <c r="AZ123" s="32"/>
      <c r="BA123" s="32"/>
      <c r="BB123" s="53"/>
      <c r="BC123" s="21" t="str">
        <f>IFERROR(VLOOKUP(March[[#This Row],[Drug Name8]],'Data Options'!$R$1:$S$100,2,FALSE), " ")</f>
        <v xml:space="preserve"> </v>
      </c>
      <c r="BD123" s="32"/>
      <c r="BE123" s="32"/>
      <c r="BF123" s="53"/>
      <c r="BG123" s="21" t="str">
        <f>IFERROR(VLOOKUP(March[[#This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21" t="str">
        <f>IFERROR(VLOOKUP(March[[#This Row],[Drug Name]],'Data Options'!$R$1:$S$100,2,FALSE), " ")</f>
        <v xml:space="preserve"> </v>
      </c>
      <c r="R124" s="32"/>
      <c r="S124" s="32"/>
      <c r="T124" s="53"/>
      <c r="U124" s="21" t="str">
        <f>IFERROR(VLOOKUP(March[[#This Row],[Drug Name2]],'Data Options'!$R$1:$S$100,2,FALSE), " ")</f>
        <v xml:space="preserve"> </v>
      </c>
      <c r="V124" s="32"/>
      <c r="W124" s="32"/>
      <c r="X124" s="53"/>
      <c r="Y124" s="21" t="str">
        <f>IFERROR(VLOOKUP(March[[#This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21" t="str">
        <f>IFERROR(VLOOKUP(March[[#This Row],[Drug Name4]],'Data Options'!$R$1:$S$100,2,FALSE), " ")</f>
        <v xml:space="preserve"> </v>
      </c>
      <c r="AI124" s="32"/>
      <c r="AJ124" s="32"/>
      <c r="AK124" s="53"/>
      <c r="AL124" s="21" t="str">
        <f>IFERROR(VLOOKUP(March[[#This Row],[Drug Name5]],'Data Options'!$R$1:$S$100,2,FALSE), " ")</f>
        <v xml:space="preserve"> </v>
      </c>
      <c r="AM124" s="32"/>
      <c r="AN124" s="32"/>
      <c r="AO124" s="53"/>
      <c r="AP124" s="21" t="str">
        <f>IFERROR(VLOOKUP(March[[#This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21" t="str">
        <f>IFERROR(VLOOKUP(March[[#This Row],[Drug Name7]],'Data Options'!$R$1:$S$100,2,FALSE), " ")</f>
        <v xml:space="preserve"> </v>
      </c>
      <c r="AZ124" s="32"/>
      <c r="BA124" s="32"/>
      <c r="BB124" s="53"/>
      <c r="BC124" s="21" t="str">
        <f>IFERROR(VLOOKUP(March[[#This Row],[Drug Name8]],'Data Options'!$R$1:$S$100,2,FALSE), " ")</f>
        <v xml:space="preserve"> </v>
      </c>
      <c r="BD124" s="32"/>
      <c r="BE124" s="32"/>
      <c r="BF124" s="53"/>
      <c r="BG124" s="21" t="str">
        <f>IFERROR(VLOOKUP(March[[#This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21" t="str">
        <f>IFERROR(VLOOKUP(March[[#This Row],[Drug Name]],'Data Options'!$R$1:$S$100,2,FALSE), " ")</f>
        <v xml:space="preserve"> </v>
      </c>
      <c r="R125" s="32"/>
      <c r="S125" s="32"/>
      <c r="T125" s="53"/>
      <c r="U125" s="21" t="str">
        <f>IFERROR(VLOOKUP(March[[#This Row],[Drug Name2]],'Data Options'!$R$1:$S$100,2,FALSE), " ")</f>
        <v xml:space="preserve"> </v>
      </c>
      <c r="V125" s="32"/>
      <c r="W125" s="32"/>
      <c r="X125" s="53"/>
      <c r="Y125" s="21" t="str">
        <f>IFERROR(VLOOKUP(March[[#This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21" t="str">
        <f>IFERROR(VLOOKUP(March[[#This Row],[Drug Name4]],'Data Options'!$R$1:$S$100,2,FALSE), " ")</f>
        <v xml:space="preserve"> </v>
      </c>
      <c r="AI125" s="32"/>
      <c r="AJ125" s="32"/>
      <c r="AK125" s="53"/>
      <c r="AL125" s="21" t="str">
        <f>IFERROR(VLOOKUP(March[[#This Row],[Drug Name5]],'Data Options'!$R$1:$S$100,2,FALSE), " ")</f>
        <v xml:space="preserve"> </v>
      </c>
      <c r="AM125" s="32"/>
      <c r="AN125" s="32"/>
      <c r="AO125" s="53"/>
      <c r="AP125" s="21" t="str">
        <f>IFERROR(VLOOKUP(March[[#This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21" t="str">
        <f>IFERROR(VLOOKUP(March[[#This Row],[Drug Name7]],'Data Options'!$R$1:$S$100,2,FALSE), " ")</f>
        <v xml:space="preserve"> </v>
      </c>
      <c r="AZ125" s="32"/>
      <c r="BA125" s="32"/>
      <c r="BB125" s="53"/>
      <c r="BC125" s="21" t="str">
        <f>IFERROR(VLOOKUP(March[[#This Row],[Drug Name8]],'Data Options'!$R$1:$S$100,2,FALSE), " ")</f>
        <v xml:space="preserve"> </v>
      </c>
      <c r="BD125" s="32"/>
      <c r="BE125" s="32"/>
      <c r="BF125" s="53"/>
      <c r="BG125" s="21" t="str">
        <f>IFERROR(VLOOKUP(March[[#This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21" t="str">
        <f>IFERROR(VLOOKUP(March[[#This Row],[Drug Name]],'Data Options'!$R$1:$S$100,2,FALSE), " ")</f>
        <v xml:space="preserve"> </v>
      </c>
      <c r="R126" s="32"/>
      <c r="S126" s="32"/>
      <c r="T126" s="53"/>
      <c r="U126" s="21" t="str">
        <f>IFERROR(VLOOKUP(March[[#This Row],[Drug Name2]],'Data Options'!$R$1:$S$100,2,FALSE), " ")</f>
        <v xml:space="preserve"> </v>
      </c>
      <c r="V126" s="32"/>
      <c r="W126" s="32"/>
      <c r="X126" s="53"/>
      <c r="Y126" s="21" t="str">
        <f>IFERROR(VLOOKUP(March[[#This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21" t="str">
        <f>IFERROR(VLOOKUP(March[[#This Row],[Drug Name4]],'Data Options'!$R$1:$S$100,2,FALSE), " ")</f>
        <v xml:space="preserve"> </v>
      </c>
      <c r="AI126" s="32"/>
      <c r="AJ126" s="32"/>
      <c r="AK126" s="53"/>
      <c r="AL126" s="21" t="str">
        <f>IFERROR(VLOOKUP(March[[#This Row],[Drug Name5]],'Data Options'!$R$1:$S$100,2,FALSE), " ")</f>
        <v xml:space="preserve"> </v>
      </c>
      <c r="AM126" s="32"/>
      <c r="AN126" s="32"/>
      <c r="AO126" s="53"/>
      <c r="AP126" s="21" t="str">
        <f>IFERROR(VLOOKUP(March[[#This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21" t="str">
        <f>IFERROR(VLOOKUP(March[[#This Row],[Drug Name7]],'Data Options'!$R$1:$S$100,2,FALSE), " ")</f>
        <v xml:space="preserve"> </v>
      </c>
      <c r="AZ126" s="32"/>
      <c r="BA126" s="32"/>
      <c r="BB126" s="53"/>
      <c r="BC126" s="21" t="str">
        <f>IFERROR(VLOOKUP(March[[#This Row],[Drug Name8]],'Data Options'!$R$1:$S$100,2,FALSE), " ")</f>
        <v xml:space="preserve"> </v>
      </c>
      <c r="BD126" s="32"/>
      <c r="BE126" s="32"/>
      <c r="BF126" s="53"/>
      <c r="BG126" s="21" t="str">
        <f>IFERROR(VLOOKUP(March[[#This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21" t="str">
        <f>IFERROR(VLOOKUP(March[[#This Row],[Drug Name]],'Data Options'!$R$1:$S$100,2,FALSE), " ")</f>
        <v xml:space="preserve"> </v>
      </c>
      <c r="R127" s="32"/>
      <c r="S127" s="32"/>
      <c r="T127" s="53"/>
      <c r="U127" s="21" t="str">
        <f>IFERROR(VLOOKUP(March[[#This Row],[Drug Name2]],'Data Options'!$R$1:$S$100,2,FALSE), " ")</f>
        <v xml:space="preserve"> </v>
      </c>
      <c r="V127" s="32"/>
      <c r="W127" s="32"/>
      <c r="X127" s="53"/>
      <c r="Y127" s="21" t="str">
        <f>IFERROR(VLOOKUP(March[[#This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21" t="str">
        <f>IFERROR(VLOOKUP(March[[#This Row],[Drug Name4]],'Data Options'!$R$1:$S$100,2,FALSE), " ")</f>
        <v xml:space="preserve"> </v>
      </c>
      <c r="AI127" s="32"/>
      <c r="AJ127" s="32"/>
      <c r="AK127" s="53"/>
      <c r="AL127" s="21" t="str">
        <f>IFERROR(VLOOKUP(March[[#This Row],[Drug Name5]],'Data Options'!$R$1:$S$100,2,FALSE), " ")</f>
        <v xml:space="preserve"> </v>
      </c>
      <c r="AM127" s="32"/>
      <c r="AN127" s="32"/>
      <c r="AO127" s="53"/>
      <c r="AP127" s="21" t="str">
        <f>IFERROR(VLOOKUP(March[[#This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21" t="str">
        <f>IFERROR(VLOOKUP(March[[#This Row],[Drug Name7]],'Data Options'!$R$1:$S$100,2,FALSE), " ")</f>
        <v xml:space="preserve"> </v>
      </c>
      <c r="AZ127" s="32"/>
      <c r="BA127" s="32"/>
      <c r="BB127" s="53"/>
      <c r="BC127" s="21" t="str">
        <f>IFERROR(VLOOKUP(March[[#This Row],[Drug Name8]],'Data Options'!$R$1:$S$100,2,FALSE), " ")</f>
        <v xml:space="preserve"> </v>
      </c>
      <c r="BD127" s="32"/>
      <c r="BE127" s="32"/>
      <c r="BF127" s="53"/>
      <c r="BG127" s="21" t="str">
        <f>IFERROR(VLOOKUP(March[[#This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21" t="str">
        <f>IFERROR(VLOOKUP(March[[#This Row],[Drug Name]],'Data Options'!$R$1:$S$100,2,FALSE), " ")</f>
        <v xml:space="preserve"> </v>
      </c>
      <c r="R128" s="32"/>
      <c r="S128" s="32"/>
      <c r="T128" s="53"/>
      <c r="U128" s="21" t="str">
        <f>IFERROR(VLOOKUP(March[[#This Row],[Drug Name2]],'Data Options'!$R$1:$S$100,2,FALSE), " ")</f>
        <v xml:space="preserve"> </v>
      </c>
      <c r="V128" s="32"/>
      <c r="W128" s="32"/>
      <c r="X128" s="53"/>
      <c r="Y128" s="21" t="str">
        <f>IFERROR(VLOOKUP(March[[#This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21" t="str">
        <f>IFERROR(VLOOKUP(March[[#This Row],[Drug Name4]],'Data Options'!$R$1:$S$100,2,FALSE), " ")</f>
        <v xml:space="preserve"> </v>
      </c>
      <c r="AI128" s="32"/>
      <c r="AJ128" s="32"/>
      <c r="AK128" s="53"/>
      <c r="AL128" s="21" t="str">
        <f>IFERROR(VLOOKUP(March[[#This Row],[Drug Name5]],'Data Options'!$R$1:$S$100,2,FALSE), " ")</f>
        <v xml:space="preserve"> </v>
      </c>
      <c r="AM128" s="32"/>
      <c r="AN128" s="32"/>
      <c r="AO128" s="53"/>
      <c r="AP128" s="21" t="str">
        <f>IFERROR(VLOOKUP(March[[#This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21" t="str">
        <f>IFERROR(VLOOKUP(March[[#This Row],[Drug Name7]],'Data Options'!$R$1:$S$100,2,FALSE), " ")</f>
        <v xml:space="preserve"> </v>
      </c>
      <c r="AZ128" s="32"/>
      <c r="BA128" s="32"/>
      <c r="BB128" s="53"/>
      <c r="BC128" s="21" t="str">
        <f>IFERROR(VLOOKUP(March[[#This Row],[Drug Name8]],'Data Options'!$R$1:$S$100,2,FALSE), " ")</f>
        <v xml:space="preserve"> </v>
      </c>
      <c r="BD128" s="32"/>
      <c r="BE128" s="32"/>
      <c r="BF128" s="53"/>
      <c r="BG128" s="21" t="str">
        <f>IFERROR(VLOOKUP(March[[#This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21" t="str">
        <f>IFERROR(VLOOKUP(March[[#This Row],[Drug Name]],'Data Options'!$R$1:$S$100,2,FALSE), " ")</f>
        <v xml:space="preserve"> </v>
      </c>
      <c r="R129" s="32"/>
      <c r="S129" s="32"/>
      <c r="T129" s="53"/>
      <c r="U129" s="21" t="str">
        <f>IFERROR(VLOOKUP(March[[#This Row],[Drug Name2]],'Data Options'!$R$1:$S$100,2,FALSE), " ")</f>
        <v xml:space="preserve"> </v>
      </c>
      <c r="V129" s="32"/>
      <c r="W129" s="32"/>
      <c r="X129" s="53"/>
      <c r="Y129" s="21" t="str">
        <f>IFERROR(VLOOKUP(March[[#This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21" t="str">
        <f>IFERROR(VLOOKUP(March[[#This Row],[Drug Name4]],'Data Options'!$R$1:$S$100,2,FALSE), " ")</f>
        <v xml:space="preserve"> </v>
      </c>
      <c r="AI129" s="32"/>
      <c r="AJ129" s="32"/>
      <c r="AK129" s="53"/>
      <c r="AL129" s="21" t="str">
        <f>IFERROR(VLOOKUP(March[[#This Row],[Drug Name5]],'Data Options'!$R$1:$S$100,2,FALSE), " ")</f>
        <v xml:space="preserve"> </v>
      </c>
      <c r="AM129" s="32"/>
      <c r="AN129" s="32"/>
      <c r="AO129" s="53"/>
      <c r="AP129" s="21" t="str">
        <f>IFERROR(VLOOKUP(March[[#This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21" t="str">
        <f>IFERROR(VLOOKUP(March[[#This Row],[Drug Name7]],'Data Options'!$R$1:$S$100,2,FALSE), " ")</f>
        <v xml:space="preserve"> </v>
      </c>
      <c r="AZ129" s="32"/>
      <c r="BA129" s="32"/>
      <c r="BB129" s="53"/>
      <c r="BC129" s="21" t="str">
        <f>IFERROR(VLOOKUP(March[[#This Row],[Drug Name8]],'Data Options'!$R$1:$S$100,2,FALSE), " ")</f>
        <v xml:space="preserve"> </v>
      </c>
      <c r="BD129" s="32"/>
      <c r="BE129" s="32"/>
      <c r="BF129" s="53"/>
      <c r="BG129" s="21" t="str">
        <f>IFERROR(VLOOKUP(March[[#This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21" t="str">
        <f>IFERROR(VLOOKUP(March[[#This Row],[Drug Name]],'Data Options'!$R$1:$S$100,2,FALSE), " ")</f>
        <v xml:space="preserve"> </v>
      </c>
      <c r="R130" s="32"/>
      <c r="S130" s="32"/>
      <c r="T130" s="53"/>
      <c r="U130" s="21" t="str">
        <f>IFERROR(VLOOKUP(March[[#This Row],[Drug Name2]],'Data Options'!$R$1:$S$100,2,FALSE), " ")</f>
        <v xml:space="preserve"> </v>
      </c>
      <c r="V130" s="32"/>
      <c r="W130" s="32"/>
      <c r="X130" s="53"/>
      <c r="Y130" s="21" t="str">
        <f>IFERROR(VLOOKUP(March[[#This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21" t="str">
        <f>IFERROR(VLOOKUP(March[[#This Row],[Drug Name4]],'Data Options'!$R$1:$S$100,2,FALSE), " ")</f>
        <v xml:space="preserve"> </v>
      </c>
      <c r="AI130" s="32"/>
      <c r="AJ130" s="32"/>
      <c r="AK130" s="53"/>
      <c r="AL130" s="21" t="str">
        <f>IFERROR(VLOOKUP(March[[#This Row],[Drug Name5]],'Data Options'!$R$1:$S$100,2,FALSE), " ")</f>
        <v xml:space="preserve"> </v>
      </c>
      <c r="AM130" s="32"/>
      <c r="AN130" s="32"/>
      <c r="AO130" s="53"/>
      <c r="AP130" s="21" t="str">
        <f>IFERROR(VLOOKUP(March[[#This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21" t="str">
        <f>IFERROR(VLOOKUP(March[[#This Row],[Drug Name7]],'Data Options'!$R$1:$S$100,2,FALSE), " ")</f>
        <v xml:space="preserve"> </v>
      </c>
      <c r="AZ130" s="32"/>
      <c r="BA130" s="32"/>
      <c r="BB130" s="53"/>
      <c r="BC130" s="21" t="str">
        <f>IFERROR(VLOOKUP(March[[#This Row],[Drug Name8]],'Data Options'!$R$1:$S$100,2,FALSE), " ")</f>
        <v xml:space="preserve"> </v>
      </c>
      <c r="BD130" s="32"/>
      <c r="BE130" s="32"/>
      <c r="BF130" s="53"/>
      <c r="BG130" s="21" t="str">
        <f>IFERROR(VLOOKUP(March[[#This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21" t="str">
        <f>IFERROR(VLOOKUP(March[[#This Row],[Drug Name]],'Data Options'!$R$1:$S$100,2,FALSE), " ")</f>
        <v xml:space="preserve"> </v>
      </c>
      <c r="R131" s="32"/>
      <c r="S131" s="32"/>
      <c r="T131" s="53"/>
      <c r="U131" s="21" t="str">
        <f>IFERROR(VLOOKUP(March[[#This Row],[Drug Name2]],'Data Options'!$R$1:$S$100,2,FALSE), " ")</f>
        <v xml:space="preserve"> </v>
      </c>
      <c r="V131" s="32"/>
      <c r="W131" s="32"/>
      <c r="X131" s="53"/>
      <c r="Y131" s="21" t="str">
        <f>IFERROR(VLOOKUP(March[[#This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21" t="str">
        <f>IFERROR(VLOOKUP(March[[#This Row],[Drug Name4]],'Data Options'!$R$1:$S$100,2,FALSE), " ")</f>
        <v xml:space="preserve"> </v>
      </c>
      <c r="AI131" s="32"/>
      <c r="AJ131" s="32"/>
      <c r="AK131" s="53"/>
      <c r="AL131" s="21" t="str">
        <f>IFERROR(VLOOKUP(March[[#This Row],[Drug Name5]],'Data Options'!$R$1:$S$100,2,FALSE), " ")</f>
        <v xml:space="preserve"> </v>
      </c>
      <c r="AM131" s="32"/>
      <c r="AN131" s="32"/>
      <c r="AO131" s="53"/>
      <c r="AP131" s="21" t="str">
        <f>IFERROR(VLOOKUP(March[[#This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21" t="str">
        <f>IFERROR(VLOOKUP(March[[#This Row],[Drug Name7]],'Data Options'!$R$1:$S$100,2,FALSE), " ")</f>
        <v xml:space="preserve"> </v>
      </c>
      <c r="AZ131" s="32"/>
      <c r="BA131" s="32"/>
      <c r="BB131" s="53"/>
      <c r="BC131" s="21" t="str">
        <f>IFERROR(VLOOKUP(March[[#This Row],[Drug Name8]],'Data Options'!$R$1:$S$100,2,FALSE), " ")</f>
        <v xml:space="preserve"> </v>
      </c>
      <c r="BD131" s="32"/>
      <c r="BE131" s="32"/>
      <c r="BF131" s="53"/>
      <c r="BG131" s="21" t="str">
        <f>IFERROR(VLOOKUP(March[[#This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21" t="str">
        <f>IFERROR(VLOOKUP(March[[#This Row],[Drug Name]],'Data Options'!$R$1:$S$100,2,FALSE), " ")</f>
        <v xml:space="preserve"> </v>
      </c>
      <c r="R132" s="32"/>
      <c r="S132" s="32"/>
      <c r="T132" s="53"/>
      <c r="U132" s="21" t="str">
        <f>IFERROR(VLOOKUP(March[[#This Row],[Drug Name2]],'Data Options'!$R$1:$S$100,2,FALSE), " ")</f>
        <v xml:space="preserve"> </v>
      </c>
      <c r="V132" s="32"/>
      <c r="W132" s="32"/>
      <c r="X132" s="53"/>
      <c r="Y132" s="21" t="str">
        <f>IFERROR(VLOOKUP(March[[#This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21" t="str">
        <f>IFERROR(VLOOKUP(March[[#This Row],[Drug Name4]],'Data Options'!$R$1:$S$100,2,FALSE), " ")</f>
        <v xml:space="preserve"> </v>
      </c>
      <c r="AI132" s="32"/>
      <c r="AJ132" s="32"/>
      <c r="AK132" s="53"/>
      <c r="AL132" s="21" t="str">
        <f>IFERROR(VLOOKUP(March[[#This Row],[Drug Name5]],'Data Options'!$R$1:$S$100,2,FALSE), " ")</f>
        <v xml:space="preserve"> </v>
      </c>
      <c r="AM132" s="32"/>
      <c r="AN132" s="32"/>
      <c r="AO132" s="53"/>
      <c r="AP132" s="21" t="str">
        <f>IFERROR(VLOOKUP(March[[#This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21" t="str">
        <f>IFERROR(VLOOKUP(March[[#This Row],[Drug Name7]],'Data Options'!$R$1:$S$100,2,FALSE), " ")</f>
        <v xml:space="preserve"> </v>
      </c>
      <c r="AZ132" s="32"/>
      <c r="BA132" s="32"/>
      <c r="BB132" s="53"/>
      <c r="BC132" s="21" t="str">
        <f>IFERROR(VLOOKUP(March[[#This Row],[Drug Name8]],'Data Options'!$R$1:$S$100,2,FALSE), " ")</f>
        <v xml:space="preserve"> </v>
      </c>
      <c r="BD132" s="32"/>
      <c r="BE132" s="32"/>
      <c r="BF132" s="53"/>
      <c r="BG132" s="21" t="str">
        <f>IFERROR(VLOOKUP(March[[#This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21" t="str">
        <f>IFERROR(VLOOKUP(March[[#This Row],[Drug Name]],'Data Options'!$R$1:$S$100,2,FALSE), " ")</f>
        <v xml:space="preserve"> </v>
      </c>
      <c r="R133" s="32"/>
      <c r="S133" s="32"/>
      <c r="T133" s="53"/>
      <c r="U133" s="21" t="str">
        <f>IFERROR(VLOOKUP(March[[#This Row],[Drug Name2]],'Data Options'!$R$1:$S$100,2,FALSE), " ")</f>
        <v xml:space="preserve"> </v>
      </c>
      <c r="V133" s="32"/>
      <c r="W133" s="32"/>
      <c r="X133" s="53"/>
      <c r="Y133" s="21" t="str">
        <f>IFERROR(VLOOKUP(March[[#This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21" t="str">
        <f>IFERROR(VLOOKUP(March[[#This Row],[Drug Name4]],'Data Options'!$R$1:$S$100,2,FALSE), " ")</f>
        <v xml:space="preserve"> </v>
      </c>
      <c r="AI133" s="32"/>
      <c r="AJ133" s="32"/>
      <c r="AK133" s="53"/>
      <c r="AL133" s="21" t="str">
        <f>IFERROR(VLOOKUP(March[[#This Row],[Drug Name5]],'Data Options'!$R$1:$S$100,2,FALSE), " ")</f>
        <v xml:space="preserve"> </v>
      </c>
      <c r="AM133" s="32"/>
      <c r="AN133" s="32"/>
      <c r="AO133" s="53"/>
      <c r="AP133" s="21" t="str">
        <f>IFERROR(VLOOKUP(March[[#This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21" t="str">
        <f>IFERROR(VLOOKUP(March[[#This Row],[Drug Name7]],'Data Options'!$R$1:$S$100,2,FALSE), " ")</f>
        <v xml:space="preserve"> </v>
      </c>
      <c r="AZ133" s="32"/>
      <c r="BA133" s="32"/>
      <c r="BB133" s="53"/>
      <c r="BC133" s="21" t="str">
        <f>IFERROR(VLOOKUP(March[[#This Row],[Drug Name8]],'Data Options'!$R$1:$S$100,2,FALSE), " ")</f>
        <v xml:space="preserve"> </v>
      </c>
      <c r="BD133" s="32"/>
      <c r="BE133" s="32"/>
      <c r="BF133" s="53"/>
      <c r="BG133" s="21" t="str">
        <f>IFERROR(VLOOKUP(March[[#This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21" t="str">
        <f>IFERROR(VLOOKUP(March[[#This Row],[Drug Name]],'Data Options'!$R$1:$S$100,2,FALSE), " ")</f>
        <v xml:space="preserve"> </v>
      </c>
      <c r="R134" s="32"/>
      <c r="S134" s="32"/>
      <c r="T134" s="53"/>
      <c r="U134" s="21" t="str">
        <f>IFERROR(VLOOKUP(March[[#This Row],[Drug Name2]],'Data Options'!$R$1:$S$100,2,FALSE), " ")</f>
        <v xml:space="preserve"> </v>
      </c>
      <c r="V134" s="32"/>
      <c r="W134" s="32"/>
      <c r="X134" s="53"/>
      <c r="Y134" s="21" t="str">
        <f>IFERROR(VLOOKUP(March[[#This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21" t="str">
        <f>IFERROR(VLOOKUP(March[[#This Row],[Drug Name4]],'Data Options'!$R$1:$S$100,2,FALSE), " ")</f>
        <v xml:space="preserve"> </v>
      </c>
      <c r="AI134" s="32"/>
      <c r="AJ134" s="32"/>
      <c r="AK134" s="53"/>
      <c r="AL134" s="21" t="str">
        <f>IFERROR(VLOOKUP(March[[#This Row],[Drug Name5]],'Data Options'!$R$1:$S$100,2,FALSE), " ")</f>
        <v xml:space="preserve"> </v>
      </c>
      <c r="AM134" s="32"/>
      <c r="AN134" s="32"/>
      <c r="AO134" s="53"/>
      <c r="AP134" s="21" t="str">
        <f>IFERROR(VLOOKUP(March[[#This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21" t="str">
        <f>IFERROR(VLOOKUP(March[[#This Row],[Drug Name7]],'Data Options'!$R$1:$S$100,2,FALSE), " ")</f>
        <v xml:space="preserve"> </v>
      </c>
      <c r="AZ134" s="32"/>
      <c r="BA134" s="32"/>
      <c r="BB134" s="53"/>
      <c r="BC134" s="21" t="str">
        <f>IFERROR(VLOOKUP(March[[#This Row],[Drug Name8]],'Data Options'!$R$1:$S$100,2,FALSE), " ")</f>
        <v xml:space="preserve"> </v>
      </c>
      <c r="BD134" s="32"/>
      <c r="BE134" s="32"/>
      <c r="BF134" s="53"/>
      <c r="BG134" s="21" t="str">
        <f>IFERROR(VLOOKUP(March[[#This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21" t="str">
        <f>IFERROR(VLOOKUP(March[[#This Row],[Drug Name]],'Data Options'!$R$1:$S$100,2,FALSE), " ")</f>
        <v xml:space="preserve"> </v>
      </c>
      <c r="R135" s="32"/>
      <c r="S135" s="32"/>
      <c r="T135" s="53"/>
      <c r="U135" s="21" t="str">
        <f>IFERROR(VLOOKUP(March[[#This Row],[Drug Name2]],'Data Options'!$R$1:$S$100,2,FALSE), " ")</f>
        <v xml:space="preserve"> </v>
      </c>
      <c r="V135" s="32"/>
      <c r="W135" s="32"/>
      <c r="X135" s="53"/>
      <c r="Y135" s="21" t="str">
        <f>IFERROR(VLOOKUP(March[[#This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21" t="str">
        <f>IFERROR(VLOOKUP(March[[#This Row],[Drug Name4]],'Data Options'!$R$1:$S$100,2,FALSE), " ")</f>
        <v xml:space="preserve"> </v>
      </c>
      <c r="AI135" s="32"/>
      <c r="AJ135" s="32"/>
      <c r="AK135" s="53"/>
      <c r="AL135" s="21" t="str">
        <f>IFERROR(VLOOKUP(March[[#This Row],[Drug Name5]],'Data Options'!$R$1:$S$100,2,FALSE), " ")</f>
        <v xml:space="preserve"> </v>
      </c>
      <c r="AM135" s="32"/>
      <c r="AN135" s="32"/>
      <c r="AO135" s="53"/>
      <c r="AP135" s="21" t="str">
        <f>IFERROR(VLOOKUP(March[[#This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21" t="str">
        <f>IFERROR(VLOOKUP(March[[#This Row],[Drug Name7]],'Data Options'!$R$1:$S$100,2,FALSE), " ")</f>
        <v xml:space="preserve"> </v>
      </c>
      <c r="AZ135" s="32"/>
      <c r="BA135" s="32"/>
      <c r="BB135" s="53"/>
      <c r="BC135" s="21" t="str">
        <f>IFERROR(VLOOKUP(March[[#This Row],[Drug Name8]],'Data Options'!$R$1:$S$100,2,FALSE), " ")</f>
        <v xml:space="preserve"> </v>
      </c>
      <c r="BD135" s="32"/>
      <c r="BE135" s="32"/>
      <c r="BF135" s="53"/>
      <c r="BG135" s="21" t="str">
        <f>IFERROR(VLOOKUP(March[[#This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21" t="str">
        <f>IFERROR(VLOOKUP(March[[#This Row],[Drug Name]],'Data Options'!$R$1:$S$100,2,FALSE), " ")</f>
        <v xml:space="preserve"> </v>
      </c>
      <c r="R136" s="32"/>
      <c r="S136" s="32"/>
      <c r="T136" s="53"/>
      <c r="U136" s="21" t="str">
        <f>IFERROR(VLOOKUP(March[[#This Row],[Drug Name2]],'Data Options'!$R$1:$S$100,2,FALSE), " ")</f>
        <v xml:space="preserve"> </v>
      </c>
      <c r="V136" s="32"/>
      <c r="W136" s="32"/>
      <c r="X136" s="53"/>
      <c r="Y136" s="21" t="str">
        <f>IFERROR(VLOOKUP(March[[#This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21" t="str">
        <f>IFERROR(VLOOKUP(March[[#This Row],[Drug Name4]],'Data Options'!$R$1:$S$100,2,FALSE), " ")</f>
        <v xml:space="preserve"> </v>
      </c>
      <c r="AI136" s="32"/>
      <c r="AJ136" s="32"/>
      <c r="AK136" s="53"/>
      <c r="AL136" s="21" t="str">
        <f>IFERROR(VLOOKUP(March[[#This Row],[Drug Name5]],'Data Options'!$R$1:$S$100,2,FALSE), " ")</f>
        <v xml:space="preserve"> </v>
      </c>
      <c r="AM136" s="32"/>
      <c r="AN136" s="32"/>
      <c r="AO136" s="53"/>
      <c r="AP136" s="21" t="str">
        <f>IFERROR(VLOOKUP(March[[#This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21" t="str">
        <f>IFERROR(VLOOKUP(March[[#This Row],[Drug Name7]],'Data Options'!$R$1:$S$100,2,FALSE), " ")</f>
        <v xml:space="preserve"> </v>
      </c>
      <c r="AZ136" s="32"/>
      <c r="BA136" s="32"/>
      <c r="BB136" s="53"/>
      <c r="BC136" s="21" t="str">
        <f>IFERROR(VLOOKUP(March[[#This Row],[Drug Name8]],'Data Options'!$R$1:$S$100,2,FALSE), " ")</f>
        <v xml:space="preserve"> </v>
      </c>
      <c r="BD136" s="32"/>
      <c r="BE136" s="32"/>
      <c r="BF136" s="53"/>
      <c r="BG136" s="21" t="str">
        <f>IFERROR(VLOOKUP(March[[#This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21" t="str">
        <f>IFERROR(VLOOKUP(March[[#This Row],[Drug Name]],'Data Options'!$R$1:$S$100,2,FALSE), " ")</f>
        <v xml:space="preserve"> </v>
      </c>
      <c r="R137" s="32"/>
      <c r="S137" s="32"/>
      <c r="T137" s="53"/>
      <c r="U137" s="21" t="str">
        <f>IFERROR(VLOOKUP(March[[#This Row],[Drug Name2]],'Data Options'!$R$1:$S$100,2,FALSE), " ")</f>
        <v xml:space="preserve"> </v>
      </c>
      <c r="V137" s="32"/>
      <c r="W137" s="32"/>
      <c r="X137" s="53"/>
      <c r="Y137" s="21" t="str">
        <f>IFERROR(VLOOKUP(March[[#This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21" t="str">
        <f>IFERROR(VLOOKUP(March[[#This Row],[Drug Name4]],'Data Options'!$R$1:$S$100,2,FALSE), " ")</f>
        <v xml:space="preserve"> </v>
      </c>
      <c r="AI137" s="32"/>
      <c r="AJ137" s="32"/>
      <c r="AK137" s="53"/>
      <c r="AL137" s="21" t="str">
        <f>IFERROR(VLOOKUP(March[[#This Row],[Drug Name5]],'Data Options'!$R$1:$S$100,2,FALSE), " ")</f>
        <v xml:space="preserve"> </v>
      </c>
      <c r="AM137" s="32"/>
      <c r="AN137" s="32"/>
      <c r="AO137" s="53"/>
      <c r="AP137" s="21" t="str">
        <f>IFERROR(VLOOKUP(March[[#This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21" t="str">
        <f>IFERROR(VLOOKUP(March[[#This Row],[Drug Name7]],'Data Options'!$R$1:$S$100,2,FALSE), " ")</f>
        <v xml:space="preserve"> </v>
      </c>
      <c r="AZ137" s="32"/>
      <c r="BA137" s="32"/>
      <c r="BB137" s="53"/>
      <c r="BC137" s="21" t="str">
        <f>IFERROR(VLOOKUP(March[[#This Row],[Drug Name8]],'Data Options'!$R$1:$S$100,2,FALSE), " ")</f>
        <v xml:space="preserve"> </v>
      </c>
      <c r="BD137" s="32"/>
      <c r="BE137" s="32"/>
      <c r="BF137" s="53"/>
      <c r="BG137" s="21" t="str">
        <f>IFERROR(VLOOKUP(March[[#This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21" t="str">
        <f>IFERROR(VLOOKUP(March[[#This Row],[Drug Name]],'Data Options'!$R$1:$S$100,2,FALSE), " ")</f>
        <v xml:space="preserve"> </v>
      </c>
      <c r="R138" s="32"/>
      <c r="S138" s="32"/>
      <c r="T138" s="53"/>
      <c r="U138" s="21" t="str">
        <f>IFERROR(VLOOKUP(March[[#This Row],[Drug Name2]],'Data Options'!$R$1:$S$100,2,FALSE), " ")</f>
        <v xml:space="preserve"> </v>
      </c>
      <c r="V138" s="32"/>
      <c r="W138" s="32"/>
      <c r="X138" s="53"/>
      <c r="Y138" s="21" t="str">
        <f>IFERROR(VLOOKUP(March[[#This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21" t="str">
        <f>IFERROR(VLOOKUP(March[[#This Row],[Drug Name4]],'Data Options'!$R$1:$S$100,2,FALSE), " ")</f>
        <v xml:space="preserve"> </v>
      </c>
      <c r="AI138" s="32"/>
      <c r="AJ138" s="32"/>
      <c r="AK138" s="53"/>
      <c r="AL138" s="21" t="str">
        <f>IFERROR(VLOOKUP(March[[#This Row],[Drug Name5]],'Data Options'!$R$1:$S$100,2,FALSE), " ")</f>
        <v xml:space="preserve"> </v>
      </c>
      <c r="AM138" s="32"/>
      <c r="AN138" s="32"/>
      <c r="AO138" s="53"/>
      <c r="AP138" s="21" t="str">
        <f>IFERROR(VLOOKUP(March[[#This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21" t="str">
        <f>IFERROR(VLOOKUP(March[[#This Row],[Drug Name7]],'Data Options'!$R$1:$S$100,2,FALSE), " ")</f>
        <v xml:space="preserve"> </v>
      </c>
      <c r="AZ138" s="32"/>
      <c r="BA138" s="32"/>
      <c r="BB138" s="53"/>
      <c r="BC138" s="21" t="str">
        <f>IFERROR(VLOOKUP(March[[#This Row],[Drug Name8]],'Data Options'!$R$1:$S$100,2,FALSE), " ")</f>
        <v xml:space="preserve"> </v>
      </c>
      <c r="BD138" s="32"/>
      <c r="BE138" s="32"/>
      <c r="BF138" s="53"/>
      <c r="BG138" s="21" t="str">
        <f>IFERROR(VLOOKUP(March[[#This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21" t="str">
        <f>IFERROR(VLOOKUP(March[[#This Row],[Drug Name]],'Data Options'!$R$1:$S$100,2,FALSE), " ")</f>
        <v xml:space="preserve"> </v>
      </c>
      <c r="R139" s="32"/>
      <c r="S139" s="32"/>
      <c r="T139" s="53"/>
      <c r="U139" s="21" t="str">
        <f>IFERROR(VLOOKUP(March[[#This Row],[Drug Name2]],'Data Options'!$R$1:$S$100,2,FALSE), " ")</f>
        <v xml:space="preserve"> </v>
      </c>
      <c r="V139" s="32"/>
      <c r="W139" s="32"/>
      <c r="X139" s="53"/>
      <c r="Y139" s="21" t="str">
        <f>IFERROR(VLOOKUP(March[[#This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21" t="str">
        <f>IFERROR(VLOOKUP(March[[#This Row],[Drug Name4]],'Data Options'!$R$1:$S$100,2,FALSE), " ")</f>
        <v xml:space="preserve"> </v>
      </c>
      <c r="AI139" s="32"/>
      <c r="AJ139" s="32"/>
      <c r="AK139" s="53"/>
      <c r="AL139" s="21" t="str">
        <f>IFERROR(VLOOKUP(March[[#This Row],[Drug Name5]],'Data Options'!$R$1:$S$100,2,FALSE), " ")</f>
        <v xml:space="preserve"> </v>
      </c>
      <c r="AM139" s="32"/>
      <c r="AN139" s="32"/>
      <c r="AO139" s="53"/>
      <c r="AP139" s="21" t="str">
        <f>IFERROR(VLOOKUP(March[[#This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21" t="str">
        <f>IFERROR(VLOOKUP(March[[#This Row],[Drug Name7]],'Data Options'!$R$1:$S$100,2,FALSE), " ")</f>
        <v xml:space="preserve"> </v>
      </c>
      <c r="AZ139" s="32"/>
      <c r="BA139" s="32"/>
      <c r="BB139" s="53"/>
      <c r="BC139" s="21" t="str">
        <f>IFERROR(VLOOKUP(March[[#This Row],[Drug Name8]],'Data Options'!$R$1:$S$100,2,FALSE), " ")</f>
        <v xml:space="preserve"> </v>
      </c>
      <c r="BD139" s="32"/>
      <c r="BE139" s="32"/>
      <c r="BF139" s="53"/>
      <c r="BG139" s="21" t="str">
        <f>IFERROR(VLOOKUP(March[[#This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21" t="str">
        <f>IFERROR(VLOOKUP(March[[#This Row],[Drug Name]],'Data Options'!$R$1:$S$100,2,FALSE), " ")</f>
        <v xml:space="preserve"> </v>
      </c>
      <c r="R140" s="32"/>
      <c r="S140" s="32"/>
      <c r="T140" s="53"/>
      <c r="U140" s="21" t="str">
        <f>IFERROR(VLOOKUP(March[[#This Row],[Drug Name2]],'Data Options'!$R$1:$S$100,2,FALSE), " ")</f>
        <v xml:space="preserve"> </v>
      </c>
      <c r="V140" s="32"/>
      <c r="W140" s="32"/>
      <c r="X140" s="53"/>
      <c r="Y140" s="21" t="str">
        <f>IFERROR(VLOOKUP(March[[#This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21" t="str">
        <f>IFERROR(VLOOKUP(March[[#This Row],[Drug Name4]],'Data Options'!$R$1:$S$100,2,FALSE), " ")</f>
        <v xml:space="preserve"> </v>
      </c>
      <c r="AI140" s="32"/>
      <c r="AJ140" s="32"/>
      <c r="AK140" s="53"/>
      <c r="AL140" s="21" t="str">
        <f>IFERROR(VLOOKUP(March[[#This Row],[Drug Name5]],'Data Options'!$R$1:$S$100,2,FALSE), " ")</f>
        <v xml:space="preserve"> </v>
      </c>
      <c r="AM140" s="32"/>
      <c r="AN140" s="32"/>
      <c r="AO140" s="53"/>
      <c r="AP140" s="21" t="str">
        <f>IFERROR(VLOOKUP(March[[#This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21" t="str">
        <f>IFERROR(VLOOKUP(March[[#This Row],[Drug Name7]],'Data Options'!$R$1:$S$100,2,FALSE), " ")</f>
        <v xml:space="preserve"> </v>
      </c>
      <c r="AZ140" s="32"/>
      <c r="BA140" s="32"/>
      <c r="BB140" s="53"/>
      <c r="BC140" s="21" t="str">
        <f>IFERROR(VLOOKUP(March[[#This Row],[Drug Name8]],'Data Options'!$R$1:$S$100,2,FALSE), " ")</f>
        <v xml:space="preserve"> </v>
      </c>
      <c r="BD140" s="32"/>
      <c r="BE140" s="32"/>
      <c r="BF140" s="53"/>
      <c r="BG140" s="21" t="str">
        <f>IFERROR(VLOOKUP(March[[#This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21" t="str">
        <f>IFERROR(VLOOKUP(March[[#This Row],[Drug Name]],'Data Options'!$R$1:$S$100,2,FALSE), " ")</f>
        <v xml:space="preserve"> </v>
      </c>
      <c r="R141" s="32"/>
      <c r="S141" s="32"/>
      <c r="T141" s="53"/>
      <c r="U141" s="21" t="str">
        <f>IFERROR(VLOOKUP(March[[#This Row],[Drug Name2]],'Data Options'!$R$1:$S$100,2,FALSE), " ")</f>
        <v xml:space="preserve"> </v>
      </c>
      <c r="V141" s="32"/>
      <c r="W141" s="32"/>
      <c r="X141" s="53"/>
      <c r="Y141" s="21" t="str">
        <f>IFERROR(VLOOKUP(March[[#This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21" t="str">
        <f>IFERROR(VLOOKUP(March[[#This Row],[Drug Name4]],'Data Options'!$R$1:$S$100,2,FALSE), " ")</f>
        <v xml:space="preserve"> </v>
      </c>
      <c r="AI141" s="32"/>
      <c r="AJ141" s="32"/>
      <c r="AK141" s="53"/>
      <c r="AL141" s="21" t="str">
        <f>IFERROR(VLOOKUP(March[[#This Row],[Drug Name5]],'Data Options'!$R$1:$S$100,2,FALSE), " ")</f>
        <v xml:space="preserve"> </v>
      </c>
      <c r="AM141" s="32"/>
      <c r="AN141" s="32"/>
      <c r="AO141" s="53"/>
      <c r="AP141" s="21" t="str">
        <f>IFERROR(VLOOKUP(March[[#This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21" t="str">
        <f>IFERROR(VLOOKUP(March[[#This Row],[Drug Name7]],'Data Options'!$R$1:$S$100,2,FALSE), " ")</f>
        <v xml:space="preserve"> </v>
      </c>
      <c r="AZ141" s="32"/>
      <c r="BA141" s="32"/>
      <c r="BB141" s="53"/>
      <c r="BC141" s="21" t="str">
        <f>IFERROR(VLOOKUP(March[[#This Row],[Drug Name8]],'Data Options'!$R$1:$S$100,2,FALSE), " ")</f>
        <v xml:space="preserve"> </v>
      </c>
      <c r="BD141" s="32"/>
      <c r="BE141" s="32"/>
      <c r="BF141" s="53"/>
      <c r="BG141" s="21" t="str">
        <f>IFERROR(VLOOKUP(March[[#This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21" t="str">
        <f>IFERROR(VLOOKUP(March[[#This Row],[Drug Name]],'Data Options'!$R$1:$S$100,2,FALSE), " ")</f>
        <v xml:space="preserve"> </v>
      </c>
      <c r="R142" s="32"/>
      <c r="S142" s="32"/>
      <c r="T142" s="53"/>
      <c r="U142" s="21" t="str">
        <f>IFERROR(VLOOKUP(March[[#This Row],[Drug Name2]],'Data Options'!$R$1:$S$100,2,FALSE), " ")</f>
        <v xml:space="preserve"> </v>
      </c>
      <c r="V142" s="32"/>
      <c r="W142" s="32"/>
      <c r="X142" s="53"/>
      <c r="Y142" s="21" t="str">
        <f>IFERROR(VLOOKUP(March[[#This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21" t="str">
        <f>IFERROR(VLOOKUP(March[[#This Row],[Drug Name4]],'Data Options'!$R$1:$S$100,2,FALSE), " ")</f>
        <v xml:space="preserve"> </v>
      </c>
      <c r="AI142" s="32"/>
      <c r="AJ142" s="32"/>
      <c r="AK142" s="53"/>
      <c r="AL142" s="21" t="str">
        <f>IFERROR(VLOOKUP(March[[#This Row],[Drug Name5]],'Data Options'!$R$1:$S$100,2,FALSE), " ")</f>
        <v xml:space="preserve"> </v>
      </c>
      <c r="AM142" s="32"/>
      <c r="AN142" s="32"/>
      <c r="AO142" s="53"/>
      <c r="AP142" s="21" t="str">
        <f>IFERROR(VLOOKUP(March[[#This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21" t="str">
        <f>IFERROR(VLOOKUP(March[[#This Row],[Drug Name7]],'Data Options'!$R$1:$S$100,2,FALSE), " ")</f>
        <v xml:space="preserve"> </v>
      </c>
      <c r="AZ142" s="32"/>
      <c r="BA142" s="32"/>
      <c r="BB142" s="53"/>
      <c r="BC142" s="21" t="str">
        <f>IFERROR(VLOOKUP(March[[#This Row],[Drug Name8]],'Data Options'!$R$1:$S$100,2,FALSE), " ")</f>
        <v xml:space="preserve"> </v>
      </c>
      <c r="BD142" s="32"/>
      <c r="BE142" s="32"/>
      <c r="BF142" s="53"/>
      <c r="BG142" s="21" t="str">
        <f>IFERROR(VLOOKUP(March[[#This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21" t="str">
        <f>IFERROR(VLOOKUP(March[[#This Row],[Drug Name]],'Data Options'!$R$1:$S$100,2,FALSE), " ")</f>
        <v xml:space="preserve"> </v>
      </c>
      <c r="R143" s="32"/>
      <c r="S143" s="32"/>
      <c r="T143" s="53"/>
      <c r="U143" s="21" t="str">
        <f>IFERROR(VLOOKUP(March[[#This Row],[Drug Name2]],'Data Options'!$R$1:$S$100,2,FALSE), " ")</f>
        <v xml:space="preserve"> </v>
      </c>
      <c r="V143" s="32"/>
      <c r="W143" s="32"/>
      <c r="X143" s="53"/>
      <c r="Y143" s="21" t="str">
        <f>IFERROR(VLOOKUP(March[[#This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21" t="str">
        <f>IFERROR(VLOOKUP(March[[#This Row],[Drug Name4]],'Data Options'!$R$1:$S$100,2,FALSE), " ")</f>
        <v xml:space="preserve"> </v>
      </c>
      <c r="AI143" s="32"/>
      <c r="AJ143" s="32"/>
      <c r="AK143" s="53"/>
      <c r="AL143" s="21" t="str">
        <f>IFERROR(VLOOKUP(March[[#This Row],[Drug Name5]],'Data Options'!$R$1:$S$100,2,FALSE), " ")</f>
        <v xml:space="preserve"> </v>
      </c>
      <c r="AM143" s="32"/>
      <c r="AN143" s="32"/>
      <c r="AO143" s="53"/>
      <c r="AP143" s="21" t="str">
        <f>IFERROR(VLOOKUP(March[[#This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21" t="str">
        <f>IFERROR(VLOOKUP(March[[#This Row],[Drug Name7]],'Data Options'!$R$1:$S$100,2,FALSE), " ")</f>
        <v xml:space="preserve"> </v>
      </c>
      <c r="AZ143" s="32"/>
      <c r="BA143" s="32"/>
      <c r="BB143" s="53"/>
      <c r="BC143" s="21" t="str">
        <f>IFERROR(VLOOKUP(March[[#This Row],[Drug Name8]],'Data Options'!$R$1:$S$100,2,FALSE), " ")</f>
        <v xml:space="preserve"> </v>
      </c>
      <c r="BD143" s="32"/>
      <c r="BE143" s="32"/>
      <c r="BF143" s="53"/>
      <c r="BG143" s="21" t="str">
        <f>IFERROR(VLOOKUP(March[[#This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21" t="str">
        <f>IFERROR(VLOOKUP(March[[#This Row],[Drug Name]],'Data Options'!$R$1:$S$100,2,FALSE), " ")</f>
        <v xml:space="preserve"> </v>
      </c>
      <c r="R144" s="32"/>
      <c r="S144" s="32"/>
      <c r="T144" s="53"/>
      <c r="U144" s="21" t="str">
        <f>IFERROR(VLOOKUP(March[[#This Row],[Drug Name2]],'Data Options'!$R$1:$S$100,2,FALSE), " ")</f>
        <v xml:space="preserve"> </v>
      </c>
      <c r="V144" s="32"/>
      <c r="W144" s="32"/>
      <c r="X144" s="53"/>
      <c r="Y144" s="21" t="str">
        <f>IFERROR(VLOOKUP(March[[#This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21" t="str">
        <f>IFERROR(VLOOKUP(March[[#This Row],[Drug Name4]],'Data Options'!$R$1:$S$100,2,FALSE), " ")</f>
        <v xml:space="preserve"> </v>
      </c>
      <c r="AI144" s="32"/>
      <c r="AJ144" s="32"/>
      <c r="AK144" s="53"/>
      <c r="AL144" s="21" t="str">
        <f>IFERROR(VLOOKUP(March[[#This Row],[Drug Name5]],'Data Options'!$R$1:$S$100,2,FALSE), " ")</f>
        <v xml:space="preserve"> </v>
      </c>
      <c r="AM144" s="32"/>
      <c r="AN144" s="32"/>
      <c r="AO144" s="53"/>
      <c r="AP144" s="21" t="str">
        <f>IFERROR(VLOOKUP(March[[#This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21" t="str">
        <f>IFERROR(VLOOKUP(March[[#This Row],[Drug Name7]],'Data Options'!$R$1:$S$100,2,FALSE), " ")</f>
        <v xml:space="preserve"> </v>
      </c>
      <c r="AZ144" s="32"/>
      <c r="BA144" s="32"/>
      <c r="BB144" s="53"/>
      <c r="BC144" s="21" t="str">
        <f>IFERROR(VLOOKUP(March[[#This Row],[Drug Name8]],'Data Options'!$R$1:$S$100,2,FALSE), " ")</f>
        <v xml:space="preserve"> </v>
      </c>
      <c r="BD144" s="32"/>
      <c r="BE144" s="32"/>
      <c r="BF144" s="53"/>
      <c r="BG144" s="21" t="str">
        <f>IFERROR(VLOOKUP(March[[#This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21" t="str">
        <f>IFERROR(VLOOKUP(March[[#This Row],[Drug Name]],'Data Options'!$R$1:$S$100,2,FALSE), " ")</f>
        <v xml:space="preserve"> </v>
      </c>
      <c r="R145" s="32"/>
      <c r="S145" s="32"/>
      <c r="T145" s="53"/>
      <c r="U145" s="21" t="str">
        <f>IFERROR(VLOOKUP(March[[#This Row],[Drug Name2]],'Data Options'!$R$1:$S$100,2,FALSE), " ")</f>
        <v xml:space="preserve"> </v>
      </c>
      <c r="V145" s="32"/>
      <c r="W145" s="32"/>
      <c r="X145" s="53"/>
      <c r="Y145" s="21" t="str">
        <f>IFERROR(VLOOKUP(March[[#This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21" t="str">
        <f>IFERROR(VLOOKUP(March[[#This Row],[Drug Name4]],'Data Options'!$R$1:$S$100,2,FALSE), " ")</f>
        <v xml:space="preserve"> </v>
      </c>
      <c r="AI145" s="32"/>
      <c r="AJ145" s="32"/>
      <c r="AK145" s="53"/>
      <c r="AL145" s="21" t="str">
        <f>IFERROR(VLOOKUP(March[[#This Row],[Drug Name5]],'Data Options'!$R$1:$S$100,2,FALSE), " ")</f>
        <v xml:space="preserve"> </v>
      </c>
      <c r="AM145" s="32"/>
      <c r="AN145" s="32"/>
      <c r="AO145" s="53"/>
      <c r="AP145" s="21" t="str">
        <f>IFERROR(VLOOKUP(March[[#This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21" t="str">
        <f>IFERROR(VLOOKUP(March[[#This Row],[Drug Name7]],'Data Options'!$R$1:$S$100,2,FALSE), " ")</f>
        <v xml:space="preserve"> </v>
      </c>
      <c r="AZ145" s="32"/>
      <c r="BA145" s="32"/>
      <c r="BB145" s="53"/>
      <c r="BC145" s="21" t="str">
        <f>IFERROR(VLOOKUP(March[[#This Row],[Drug Name8]],'Data Options'!$R$1:$S$100,2,FALSE), " ")</f>
        <v xml:space="preserve"> </v>
      </c>
      <c r="BD145" s="32"/>
      <c r="BE145" s="32"/>
      <c r="BF145" s="53"/>
      <c r="BG145" s="21" t="str">
        <f>IFERROR(VLOOKUP(March[[#This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21" t="str">
        <f>IFERROR(VLOOKUP(March[[#This Row],[Drug Name]],'Data Options'!$R$1:$S$100,2,FALSE), " ")</f>
        <v xml:space="preserve"> </v>
      </c>
      <c r="R146" s="32"/>
      <c r="S146" s="32"/>
      <c r="T146" s="53"/>
      <c r="U146" s="21" t="str">
        <f>IFERROR(VLOOKUP(March[[#This Row],[Drug Name2]],'Data Options'!$R$1:$S$100,2,FALSE), " ")</f>
        <v xml:space="preserve"> </v>
      </c>
      <c r="V146" s="32"/>
      <c r="W146" s="32"/>
      <c r="X146" s="53"/>
      <c r="Y146" s="21" t="str">
        <f>IFERROR(VLOOKUP(March[[#This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21" t="str">
        <f>IFERROR(VLOOKUP(March[[#This Row],[Drug Name4]],'Data Options'!$R$1:$S$100,2,FALSE), " ")</f>
        <v xml:space="preserve"> </v>
      </c>
      <c r="AI146" s="32"/>
      <c r="AJ146" s="32"/>
      <c r="AK146" s="53"/>
      <c r="AL146" s="21" t="str">
        <f>IFERROR(VLOOKUP(March[[#This Row],[Drug Name5]],'Data Options'!$R$1:$S$100,2,FALSE), " ")</f>
        <v xml:space="preserve"> </v>
      </c>
      <c r="AM146" s="32"/>
      <c r="AN146" s="32"/>
      <c r="AO146" s="53"/>
      <c r="AP146" s="21" t="str">
        <f>IFERROR(VLOOKUP(March[[#This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21" t="str">
        <f>IFERROR(VLOOKUP(March[[#This Row],[Drug Name7]],'Data Options'!$R$1:$S$100,2,FALSE), " ")</f>
        <v xml:space="preserve"> </v>
      </c>
      <c r="AZ146" s="32"/>
      <c r="BA146" s="32"/>
      <c r="BB146" s="53"/>
      <c r="BC146" s="21" t="str">
        <f>IFERROR(VLOOKUP(March[[#This Row],[Drug Name8]],'Data Options'!$R$1:$S$100,2,FALSE), " ")</f>
        <v xml:space="preserve"> </v>
      </c>
      <c r="BD146" s="32"/>
      <c r="BE146" s="32"/>
      <c r="BF146" s="53"/>
      <c r="BG146" s="21" t="str">
        <f>IFERROR(VLOOKUP(March[[#This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21" t="str">
        <f>IFERROR(VLOOKUP(March[[#This Row],[Drug Name]],'Data Options'!$R$1:$S$100,2,FALSE), " ")</f>
        <v xml:space="preserve"> </v>
      </c>
      <c r="R147" s="32"/>
      <c r="S147" s="32"/>
      <c r="T147" s="53"/>
      <c r="U147" s="21" t="str">
        <f>IFERROR(VLOOKUP(March[[#This Row],[Drug Name2]],'Data Options'!$R$1:$S$100,2,FALSE), " ")</f>
        <v xml:space="preserve"> </v>
      </c>
      <c r="V147" s="32"/>
      <c r="W147" s="32"/>
      <c r="X147" s="53"/>
      <c r="Y147" s="21" t="str">
        <f>IFERROR(VLOOKUP(March[[#This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21" t="str">
        <f>IFERROR(VLOOKUP(March[[#This Row],[Drug Name4]],'Data Options'!$R$1:$S$100,2,FALSE), " ")</f>
        <v xml:space="preserve"> </v>
      </c>
      <c r="AI147" s="32"/>
      <c r="AJ147" s="32"/>
      <c r="AK147" s="53"/>
      <c r="AL147" s="21" t="str">
        <f>IFERROR(VLOOKUP(March[[#This Row],[Drug Name5]],'Data Options'!$R$1:$S$100,2,FALSE), " ")</f>
        <v xml:space="preserve"> </v>
      </c>
      <c r="AM147" s="32"/>
      <c r="AN147" s="32"/>
      <c r="AO147" s="53"/>
      <c r="AP147" s="21" t="str">
        <f>IFERROR(VLOOKUP(March[[#This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21" t="str">
        <f>IFERROR(VLOOKUP(March[[#This Row],[Drug Name7]],'Data Options'!$R$1:$S$100,2,FALSE), " ")</f>
        <v xml:space="preserve"> </v>
      </c>
      <c r="AZ147" s="32"/>
      <c r="BA147" s="32"/>
      <c r="BB147" s="53"/>
      <c r="BC147" s="21" t="str">
        <f>IFERROR(VLOOKUP(March[[#This Row],[Drug Name8]],'Data Options'!$R$1:$S$100,2,FALSE), " ")</f>
        <v xml:space="preserve"> </v>
      </c>
      <c r="BD147" s="32"/>
      <c r="BE147" s="32"/>
      <c r="BF147" s="53"/>
      <c r="BG147" s="21" t="str">
        <f>IFERROR(VLOOKUP(March[[#This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21" t="str">
        <f>IFERROR(VLOOKUP(March[[#This Row],[Drug Name]],'Data Options'!$R$1:$S$100,2,FALSE), " ")</f>
        <v xml:space="preserve"> </v>
      </c>
      <c r="R148" s="32"/>
      <c r="S148" s="32"/>
      <c r="T148" s="53"/>
      <c r="U148" s="21" t="str">
        <f>IFERROR(VLOOKUP(March[[#This Row],[Drug Name2]],'Data Options'!$R$1:$S$100,2,FALSE), " ")</f>
        <v xml:space="preserve"> </v>
      </c>
      <c r="V148" s="32"/>
      <c r="W148" s="32"/>
      <c r="X148" s="53"/>
      <c r="Y148" s="21" t="str">
        <f>IFERROR(VLOOKUP(March[[#This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21" t="str">
        <f>IFERROR(VLOOKUP(March[[#This Row],[Drug Name4]],'Data Options'!$R$1:$S$100,2,FALSE), " ")</f>
        <v xml:space="preserve"> </v>
      </c>
      <c r="AI148" s="32"/>
      <c r="AJ148" s="32"/>
      <c r="AK148" s="53"/>
      <c r="AL148" s="21" t="str">
        <f>IFERROR(VLOOKUP(March[[#This Row],[Drug Name5]],'Data Options'!$R$1:$S$100,2,FALSE), " ")</f>
        <v xml:space="preserve"> </v>
      </c>
      <c r="AM148" s="32"/>
      <c r="AN148" s="32"/>
      <c r="AO148" s="53"/>
      <c r="AP148" s="21" t="str">
        <f>IFERROR(VLOOKUP(March[[#This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21" t="str">
        <f>IFERROR(VLOOKUP(March[[#This Row],[Drug Name7]],'Data Options'!$R$1:$S$100,2,FALSE), " ")</f>
        <v xml:space="preserve"> </v>
      </c>
      <c r="AZ148" s="32"/>
      <c r="BA148" s="32"/>
      <c r="BB148" s="53"/>
      <c r="BC148" s="21" t="str">
        <f>IFERROR(VLOOKUP(March[[#This Row],[Drug Name8]],'Data Options'!$R$1:$S$100,2,FALSE), " ")</f>
        <v xml:space="preserve"> </v>
      </c>
      <c r="BD148" s="32"/>
      <c r="BE148" s="32"/>
      <c r="BF148" s="53"/>
      <c r="BG148" s="21" t="str">
        <f>IFERROR(VLOOKUP(March[[#This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21" t="str">
        <f>IFERROR(VLOOKUP(March[[#This Row],[Drug Name]],'Data Options'!$R$1:$S$100,2,FALSE), " ")</f>
        <v xml:space="preserve"> </v>
      </c>
      <c r="R149" s="32"/>
      <c r="S149" s="32"/>
      <c r="T149" s="53"/>
      <c r="U149" s="21" t="str">
        <f>IFERROR(VLOOKUP(March[[#This Row],[Drug Name2]],'Data Options'!$R$1:$S$100,2,FALSE), " ")</f>
        <v xml:space="preserve"> </v>
      </c>
      <c r="V149" s="32"/>
      <c r="W149" s="32"/>
      <c r="X149" s="53"/>
      <c r="Y149" s="21" t="str">
        <f>IFERROR(VLOOKUP(March[[#This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21" t="str">
        <f>IFERROR(VLOOKUP(March[[#This Row],[Drug Name4]],'Data Options'!$R$1:$S$100,2,FALSE), " ")</f>
        <v xml:space="preserve"> </v>
      </c>
      <c r="AI149" s="32"/>
      <c r="AJ149" s="32"/>
      <c r="AK149" s="53"/>
      <c r="AL149" s="21" t="str">
        <f>IFERROR(VLOOKUP(March[[#This Row],[Drug Name5]],'Data Options'!$R$1:$S$100,2,FALSE), " ")</f>
        <v xml:space="preserve"> </v>
      </c>
      <c r="AM149" s="32"/>
      <c r="AN149" s="32"/>
      <c r="AO149" s="53"/>
      <c r="AP149" s="21" t="str">
        <f>IFERROR(VLOOKUP(March[[#This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21" t="str">
        <f>IFERROR(VLOOKUP(March[[#This Row],[Drug Name7]],'Data Options'!$R$1:$S$100,2,FALSE), " ")</f>
        <v xml:space="preserve"> </v>
      </c>
      <c r="AZ149" s="32"/>
      <c r="BA149" s="32"/>
      <c r="BB149" s="53"/>
      <c r="BC149" s="21" t="str">
        <f>IFERROR(VLOOKUP(March[[#This Row],[Drug Name8]],'Data Options'!$R$1:$S$100,2,FALSE), " ")</f>
        <v xml:space="preserve"> </v>
      </c>
      <c r="BD149" s="32"/>
      <c r="BE149" s="32"/>
      <c r="BF149" s="53"/>
      <c r="BG149" s="21" t="str">
        <f>IFERROR(VLOOKUP(March[[#This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21" t="str">
        <f>IFERROR(VLOOKUP(March[[#This Row],[Drug Name]],'Data Options'!$R$1:$S$100,2,FALSE), " ")</f>
        <v xml:space="preserve"> </v>
      </c>
      <c r="R150" s="32"/>
      <c r="S150" s="32"/>
      <c r="T150" s="53"/>
      <c r="U150" s="21" t="str">
        <f>IFERROR(VLOOKUP(March[[#This Row],[Drug Name2]],'Data Options'!$R$1:$S$100,2,FALSE), " ")</f>
        <v xml:space="preserve"> </v>
      </c>
      <c r="V150" s="32"/>
      <c r="W150" s="32"/>
      <c r="X150" s="53"/>
      <c r="Y150" s="21" t="str">
        <f>IFERROR(VLOOKUP(March[[#This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21" t="str">
        <f>IFERROR(VLOOKUP(March[[#This Row],[Drug Name4]],'Data Options'!$R$1:$S$100,2,FALSE), " ")</f>
        <v xml:space="preserve"> </v>
      </c>
      <c r="AI150" s="32"/>
      <c r="AJ150" s="32"/>
      <c r="AK150" s="53"/>
      <c r="AL150" s="21" t="str">
        <f>IFERROR(VLOOKUP(March[[#This Row],[Drug Name5]],'Data Options'!$R$1:$S$100,2,FALSE), " ")</f>
        <v xml:space="preserve"> </v>
      </c>
      <c r="AM150" s="32"/>
      <c r="AN150" s="32"/>
      <c r="AO150" s="53"/>
      <c r="AP150" s="21" t="str">
        <f>IFERROR(VLOOKUP(March[[#This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21" t="str">
        <f>IFERROR(VLOOKUP(March[[#This Row],[Drug Name7]],'Data Options'!$R$1:$S$100,2,FALSE), " ")</f>
        <v xml:space="preserve"> </v>
      </c>
      <c r="AZ150" s="32"/>
      <c r="BA150" s="32"/>
      <c r="BB150" s="53"/>
      <c r="BC150" s="21" t="str">
        <f>IFERROR(VLOOKUP(March[[#This Row],[Drug Name8]],'Data Options'!$R$1:$S$100,2,FALSE), " ")</f>
        <v xml:space="preserve"> </v>
      </c>
      <c r="BD150" s="32"/>
      <c r="BE150" s="32"/>
      <c r="BF150" s="53"/>
      <c r="BG150" s="21" t="str">
        <f>IFERROR(VLOOKUP(March[[#This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21" t="str">
        <f>IFERROR(VLOOKUP(March[[#This Row],[Drug Name]],'Data Options'!$R$1:$S$100,2,FALSE), " ")</f>
        <v xml:space="preserve"> </v>
      </c>
      <c r="R151" s="32"/>
      <c r="S151" s="32"/>
      <c r="T151" s="53"/>
      <c r="U151" s="21" t="str">
        <f>IFERROR(VLOOKUP(March[[#This Row],[Drug Name2]],'Data Options'!$R$1:$S$100,2,FALSE), " ")</f>
        <v xml:space="preserve"> </v>
      </c>
      <c r="V151" s="32"/>
      <c r="W151" s="32"/>
      <c r="X151" s="53"/>
      <c r="Y151" s="21" t="str">
        <f>IFERROR(VLOOKUP(March[[#This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21" t="str">
        <f>IFERROR(VLOOKUP(March[[#This Row],[Drug Name4]],'Data Options'!$R$1:$S$100,2,FALSE), " ")</f>
        <v xml:space="preserve"> </v>
      </c>
      <c r="AI151" s="32"/>
      <c r="AJ151" s="32"/>
      <c r="AK151" s="53"/>
      <c r="AL151" s="21" t="str">
        <f>IFERROR(VLOOKUP(March[[#This Row],[Drug Name5]],'Data Options'!$R$1:$S$100,2,FALSE), " ")</f>
        <v xml:space="preserve"> </v>
      </c>
      <c r="AM151" s="32"/>
      <c r="AN151" s="32"/>
      <c r="AO151" s="53"/>
      <c r="AP151" s="21" t="str">
        <f>IFERROR(VLOOKUP(March[[#This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21" t="str">
        <f>IFERROR(VLOOKUP(March[[#This Row],[Drug Name7]],'Data Options'!$R$1:$S$100,2,FALSE), " ")</f>
        <v xml:space="preserve"> </v>
      </c>
      <c r="AZ151" s="32"/>
      <c r="BA151" s="32"/>
      <c r="BB151" s="53"/>
      <c r="BC151" s="21" t="str">
        <f>IFERROR(VLOOKUP(March[[#This Row],[Drug Name8]],'Data Options'!$R$1:$S$100,2,FALSE), " ")</f>
        <v xml:space="preserve"> </v>
      </c>
      <c r="BD151" s="32"/>
      <c r="BE151" s="32"/>
      <c r="BF151" s="53"/>
      <c r="BG151" s="21" t="str">
        <f>IFERROR(VLOOKUP(March[[#This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21" t="str">
        <f>IFERROR(VLOOKUP(March[[#This Row],[Drug Name]],'Data Options'!$R$1:$S$100,2,FALSE), " ")</f>
        <v xml:space="preserve"> </v>
      </c>
      <c r="R152" s="32"/>
      <c r="S152" s="32"/>
      <c r="T152" s="53"/>
      <c r="U152" s="21" t="str">
        <f>IFERROR(VLOOKUP(March[[#This Row],[Drug Name2]],'Data Options'!$R$1:$S$100,2,FALSE), " ")</f>
        <v xml:space="preserve"> </v>
      </c>
      <c r="V152" s="32"/>
      <c r="W152" s="32"/>
      <c r="X152" s="53"/>
      <c r="Y152" s="21" t="str">
        <f>IFERROR(VLOOKUP(March[[#This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21" t="str">
        <f>IFERROR(VLOOKUP(March[[#This Row],[Drug Name4]],'Data Options'!$R$1:$S$100,2,FALSE), " ")</f>
        <v xml:space="preserve"> </v>
      </c>
      <c r="AI152" s="32"/>
      <c r="AJ152" s="32"/>
      <c r="AK152" s="53"/>
      <c r="AL152" s="21" t="str">
        <f>IFERROR(VLOOKUP(March[[#This Row],[Drug Name5]],'Data Options'!$R$1:$S$100,2,FALSE), " ")</f>
        <v xml:space="preserve"> </v>
      </c>
      <c r="AM152" s="32"/>
      <c r="AN152" s="32"/>
      <c r="AO152" s="53"/>
      <c r="AP152" s="21" t="str">
        <f>IFERROR(VLOOKUP(March[[#This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21" t="str">
        <f>IFERROR(VLOOKUP(March[[#This Row],[Drug Name7]],'Data Options'!$R$1:$S$100,2,FALSE), " ")</f>
        <v xml:space="preserve"> </v>
      </c>
      <c r="AZ152" s="32"/>
      <c r="BA152" s="32"/>
      <c r="BB152" s="53"/>
      <c r="BC152" s="21" t="str">
        <f>IFERROR(VLOOKUP(March[[#This Row],[Drug Name8]],'Data Options'!$R$1:$S$100,2,FALSE), " ")</f>
        <v xml:space="preserve"> </v>
      </c>
      <c r="BD152" s="32"/>
      <c r="BE152" s="32"/>
      <c r="BF152" s="53"/>
      <c r="BG152" s="21" t="str">
        <f>IFERROR(VLOOKUP(March[[#This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21" t="str">
        <f>IFERROR(VLOOKUP(March[[#This Row],[Drug Name]],'Data Options'!$R$1:$S$100,2,FALSE), " ")</f>
        <v xml:space="preserve"> </v>
      </c>
      <c r="R153" s="32"/>
      <c r="S153" s="32"/>
      <c r="T153" s="53"/>
      <c r="U153" s="21" t="str">
        <f>IFERROR(VLOOKUP(March[[#This Row],[Drug Name2]],'Data Options'!$R$1:$S$100,2,FALSE), " ")</f>
        <v xml:space="preserve"> </v>
      </c>
      <c r="V153" s="32"/>
      <c r="W153" s="32"/>
      <c r="X153" s="53"/>
      <c r="Y153" s="21" t="str">
        <f>IFERROR(VLOOKUP(March[[#This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21" t="str">
        <f>IFERROR(VLOOKUP(March[[#This Row],[Drug Name4]],'Data Options'!$R$1:$S$100,2,FALSE), " ")</f>
        <v xml:space="preserve"> </v>
      </c>
      <c r="AI153" s="32"/>
      <c r="AJ153" s="32"/>
      <c r="AK153" s="53"/>
      <c r="AL153" s="21" t="str">
        <f>IFERROR(VLOOKUP(March[[#This Row],[Drug Name5]],'Data Options'!$R$1:$S$100,2,FALSE), " ")</f>
        <v xml:space="preserve"> </v>
      </c>
      <c r="AM153" s="32"/>
      <c r="AN153" s="32"/>
      <c r="AO153" s="53"/>
      <c r="AP153" s="21" t="str">
        <f>IFERROR(VLOOKUP(March[[#This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21" t="str">
        <f>IFERROR(VLOOKUP(March[[#This Row],[Drug Name7]],'Data Options'!$R$1:$S$100,2,FALSE), " ")</f>
        <v xml:space="preserve"> </v>
      </c>
      <c r="AZ153" s="32"/>
      <c r="BA153" s="32"/>
      <c r="BB153" s="53"/>
      <c r="BC153" s="21" t="str">
        <f>IFERROR(VLOOKUP(March[[#This Row],[Drug Name8]],'Data Options'!$R$1:$S$100,2,FALSE), " ")</f>
        <v xml:space="preserve"> </v>
      </c>
      <c r="BD153" s="32"/>
      <c r="BE153" s="32"/>
      <c r="BF153" s="53"/>
      <c r="BG153" s="21" t="str">
        <f>IFERROR(VLOOKUP(March[[#This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21" t="str">
        <f>IFERROR(VLOOKUP(March[[#This Row],[Drug Name]],'Data Options'!$R$1:$S$100,2,FALSE), " ")</f>
        <v xml:space="preserve"> </v>
      </c>
      <c r="R154" s="32"/>
      <c r="S154" s="32"/>
      <c r="T154" s="53"/>
      <c r="U154" s="21" t="str">
        <f>IFERROR(VLOOKUP(March[[#This Row],[Drug Name2]],'Data Options'!$R$1:$S$100,2,FALSE), " ")</f>
        <v xml:space="preserve"> </v>
      </c>
      <c r="V154" s="32"/>
      <c r="W154" s="32"/>
      <c r="X154" s="53"/>
      <c r="Y154" s="21" t="str">
        <f>IFERROR(VLOOKUP(March[[#This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21" t="str">
        <f>IFERROR(VLOOKUP(March[[#This Row],[Drug Name4]],'Data Options'!$R$1:$S$100,2,FALSE), " ")</f>
        <v xml:space="preserve"> </v>
      </c>
      <c r="AI154" s="32"/>
      <c r="AJ154" s="32"/>
      <c r="AK154" s="53"/>
      <c r="AL154" s="21" t="str">
        <f>IFERROR(VLOOKUP(March[[#This Row],[Drug Name5]],'Data Options'!$R$1:$S$100,2,FALSE), " ")</f>
        <v xml:space="preserve"> </v>
      </c>
      <c r="AM154" s="32"/>
      <c r="AN154" s="32"/>
      <c r="AO154" s="53"/>
      <c r="AP154" s="21" t="str">
        <f>IFERROR(VLOOKUP(March[[#This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21" t="str">
        <f>IFERROR(VLOOKUP(March[[#This Row],[Drug Name7]],'Data Options'!$R$1:$S$100,2,FALSE), " ")</f>
        <v xml:space="preserve"> </v>
      </c>
      <c r="AZ154" s="32"/>
      <c r="BA154" s="32"/>
      <c r="BB154" s="53"/>
      <c r="BC154" s="21" t="str">
        <f>IFERROR(VLOOKUP(March[[#This Row],[Drug Name8]],'Data Options'!$R$1:$S$100,2,FALSE), " ")</f>
        <v xml:space="preserve"> </v>
      </c>
      <c r="BD154" s="32"/>
      <c r="BE154" s="32"/>
      <c r="BF154" s="53"/>
      <c r="BG154" s="21" t="str">
        <f>IFERROR(VLOOKUP(March[[#This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21" t="str">
        <f>IFERROR(VLOOKUP(March[[#This Row],[Drug Name]],'Data Options'!$R$1:$S$100,2,FALSE), " ")</f>
        <v xml:space="preserve"> </v>
      </c>
      <c r="R155" s="32"/>
      <c r="S155" s="32"/>
      <c r="T155" s="53"/>
      <c r="U155" s="21" t="str">
        <f>IFERROR(VLOOKUP(March[[#This Row],[Drug Name2]],'Data Options'!$R$1:$S$100,2,FALSE), " ")</f>
        <v xml:space="preserve"> </v>
      </c>
      <c r="V155" s="32"/>
      <c r="W155" s="32"/>
      <c r="X155" s="53"/>
      <c r="Y155" s="21" t="str">
        <f>IFERROR(VLOOKUP(March[[#This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21" t="str">
        <f>IFERROR(VLOOKUP(March[[#This Row],[Drug Name4]],'Data Options'!$R$1:$S$100,2,FALSE), " ")</f>
        <v xml:space="preserve"> </v>
      </c>
      <c r="AI155" s="32"/>
      <c r="AJ155" s="32"/>
      <c r="AK155" s="53"/>
      <c r="AL155" s="21" t="str">
        <f>IFERROR(VLOOKUP(March[[#This Row],[Drug Name5]],'Data Options'!$R$1:$S$100,2,FALSE), " ")</f>
        <v xml:space="preserve"> </v>
      </c>
      <c r="AM155" s="32"/>
      <c r="AN155" s="32"/>
      <c r="AO155" s="53"/>
      <c r="AP155" s="21" t="str">
        <f>IFERROR(VLOOKUP(March[[#This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21" t="str">
        <f>IFERROR(VLOOKUP(March[[#This Row],[Drug Name7]],'Data Options'!$R$1:$S$100,2,FALSE), " ")</f>
        <v xml:space="preserve"> </v>
      </c>
      <c r="AZ155" s="32"/>
      <c r="BA155" s="32"/>
      <c r="BB155" s="53"/>
      <c r="BC155" s="21" t="str">
        <f>IFERROR(VLOOKUP(March[[#This Row],[Drug Name8]],'Data Options'!$R$1:$S$100,2,FALSE), " ")</f>
        <v xml:space="preserve"> </v>
      </c>
      <c r="BD155" s="32"/>
      <c r="BE155" s="32"/>
      <c r="BF155" s="53"/>
      <c r="BG155" s="21" t="str">
        <f>IFERROR(VLOOKUP(March[[#This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21" t="str">
        <f>IFERROR(VLOOKUP(March[[#This Row],[Drug Name]],'Data Options'!$R$1:$S$100,2,FALSE), " ")</f>
        <v xml:space="preserve"> </v>
      </c>
      <c r="R156" s="32"/>
      <c r="S156" s="32"/>
      <c r="T156" s="53"/>
      <c r="U156" s="21" t="str">
        <f>IFERROR(VLOOKUP(March[[#This Row],[Drug Name2]],'Data Options'!$R$1:$S$100,2,FALSE), " ")</f>
        <v xml:space="preserve"> </v>
      </c>
      <c r="V156" s="32"/>
      <c r="W156" s="32"/>
      <c r="X156" s="53"/>
      <c r="Y156" s="21" t="str">
        <f>IFERROR(VLOOKUP(March[[#This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21" t="str">
        <f>IFERROR(VLOOKUP(March[[#This Row],[Drug Name4]],'Data Options'!$R$1:$S$100,2,FALSE), " ")</f>
        <v xml:space="preserve"> </v>
      </c>
      <c r="AI156" s="32"/>
      <c r="AJ156" s="32"/>
      <c r="AK156" s="53"/>
      <c r="AL156" s="21" t="str">
        <f>IFERROR(VLOOKUP(March[[#This Row],[Drug Name5]],'Data Options'!$R$1:$S$100,2,FALSE), " ")</f>
        <v xml:space="preserve"> </v>
      </c>
      <c r="AM156" s="32"/>
      <c r="AN156" s="32"/>
      <c r="AO156" s="53"/>
      <c r="AP156" s="21" t="str">
        <f>IFERROR(VLOOKUP(March[[#This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21" t="str">
        <f>IFERROR(VLOOKUP(March[[#This Row],[Drug Name7]],'Data Options'!$R$1:$S$100,2,FALSE), " ")</f>
        <v xml:space="preserve"> </v>
      </c>
      <c r="AZ156" s="32"/>
      <c r="BA156" s="32"/>
      <c r="BB156" s="53"/>
      <c r="BC156" s="21" t="str">
        <f>IFERROR(VLOOKUP(March[[#This Row],[Drug Name8]],'Data Options'!$R$1:$S$100,2,FALSE), " ")</f>
        <v xml:space="preserve"> </v>
      </c>
      <c r="BD156" s="32"/>
      <c r="BE156" s="32"/>
      <c r="BF156" s="53"/>
      <c r="BG156" s="21" t="str">
        <f>IFERROR(VLOOKUP(March[[#This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21" t="str">
        <f>IFERROR(VLOOKUP(March[[#This Row],[Drug Name]],'Data Options'!$R$1:$S$100,2,FALSE), " ")</f>
        <v xml:space="preserve"> </v>
      </c>
      <c r="R157" s="32"/>
      <c r="S157" s="32"/>
      <c r="T157" s="53"/>
      <c r="U157" s="21" t="str">
        <f>IFERROR(VLOOKUP(March[[#This Row],[Drug Name2]],'Data Options'!$R$1:$S$100,2,FALSE), " ")</f>
        <v xml:space="preserve"> </v>
      </c>
      <c r="V157" s="32"/>
      <c r="W157" s="32"/>
      <c r="X157" s="53"/>
      <c r="Y157" s="21" t="str">
        <f>IFERROR(VLOOKUP(March[[#This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21" t="str">
        <f>IFERROR(VLOOKUP(March[[#This Row],[Drug Name4]],'Data Options'!$R$1:$S$100,2,FALSE), " ")</f>
        <v xml:space="preserve"> </v>
      </c>
      <c r="AI157" s="32"/>
      <c r="AJ157" s="32"/>
      <c r="AK157" s="53"/>
      <c r="AL157" s="21" t="str">
        <f>IFERROR(VLOOKUP(March[[#This Row],[Drug Name5]],'Data Options'!$R$1:$S$100,2,FALSE), " ")</f>
        <v xml:space="preserve"> </v>
      </c>
      <c r="AM157" s="32"/>
      <c r="AN157" s="32"/>
      <c r="AO157" s="53"/>
      <c r="AP157" s="21" t="str">
        <f>IFERROR(VLOOKUP(March[[#This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21" t="str">
        <f>IFERROR(VLOOKUP(March[[#This Row],[Drug Name7]],'Data Options'!$R$1:$S$100,2,FALSE), " ")</f>
        <v xml:space="preserve"> </v>
      </c>
      <c r="AZ157" s="32"/>
      <c r="BA157" s="32"/>
      <c r="BB157" s="53"/>
      <c r="BC157" s="21" t="str">
        <f>IFERROR(VLOOKUP(March[[#This Row],[Drug Name8]],'Data Options'!$R$1:$S$100,2,FALSE), " ")</f>
        <v xml:space="preserve"> </v>
      </c>
      <c r="BD157" s="32"/>
      <c r="BE157" s="32"/>
      <c r="BF157" s="53"/>
      <c r="BG157" s="21" t="str">
        <f>IFERROR(VLOOKUP(March[[#This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21" t="str">
        <f>IFERROR(VLOOKUP(March[[#This Row],[Drug Name]],'Data Options'!$R$1:$S$100,2,FALSE), " ")</f>
        <v xml:space="preserve"> </v>
      </c>
      <c r="R158" s="32"/>
      <c r="S158" s="32"/>
      <c r="T158" s="53"/>
      <c r="U158" s="21" t="str">
        <f>IFERROR(VLOOKUP(March[[#This Row],[Drug Name2]],'Data Options'!$R$1:$S$100,2,FALSE), " ")</f>
        <v xml:space="preserve"> </v>
      </c>
      <c r="V158" s="32"/>
      <c r="W158" s="32"/>
      <c r="X158" s="53"/>
      <c r="Y158" s="21" t="str">
        <f>IFERROR(VLOOKUP(March[[#This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21" t="str">
        <f>IFERROR(VLOOKUP(March[[#This Row],[Drug Name4]],'Data Options'!$R$1:$S$100,2,FALSE), " ")</f>
        <v xml:space="preserve"> </v>
      </c>
      <c r="AI158" s="32"/>
      <c r="AJ158" s="32"/>
      <c r="AK158" s="53"/>
      <c r="AL158" s="21" t="str">
        <f>IFERROR(VLOOKUP(March[[#This Row],[Drug Name5]],'Data Options'!$R$1:$S$100,2,FALSE), " ")</f>
        <v xml:space="preserve"> </v>
      </c>
      <c r="AM158" s="32"/>
      <c r="AN158" s="32"/>
      <c r="AO158" s="53"/>
      <c r="AP158" s="21" t="str">
        <f>IFERROR(VLOOKUP(March[[#This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21" t="str">
        <f>IFERROR(VLOOKUP(March[[#This Row],[Drug Name7]],'Data Options'!$R$1:$S$100,2,FALSE), " ")</f>
        <v xml:space="preserve"> </v>
      </c>
      <c r="AZ158" s="32"/>
      <c r="BA158" s="32"/>
      <c r="BB158" s="53"/>
      <c r="BC158" s="21" t="str">
        <f>IFERROR(VLOOKUP(March[[#This Row],[Drug Name8]],'Data Options'!$R$1:$S$100,2,FALSE), " ")</f>
        <v xml:space="preserve"> </v>
      </c>
      <c r="BD158" s="32"/>
      <c r="BE158" s="32"/>
      <c r="BF158" s="53"/>
      <c r="BG158" s="21" t="str">
        <f>IFERROR(VLOOKUP(March[[#This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21" t="str">
        <f>IFERROR(VLOOKUP(March[[#This Row],[Drug Name]],'Data Options'!$R$1:$S$100,2,FALSE), " ")</f>
        <v xml:space="preserve"> </v>
      </c>
      <c r="R159" s="32"/>
      <c r="S159" s="32"/>
      <c r="T159" s="53"/>
      <c r="U159" s="21" t="str">
        <f>IFERROR(VLOOKUP(March[[#This Row],[Drug Name2]],'Data Options'!$R$1:$S$100,2,FALSE), " ")</f>
        <v xml:space="preserve"> </v>
      </c>
      <c r="V159" s="32"/>
      <c r="W159" s="32"/>
      <c r="X159" s="53"/>
      <c r="Y159" s="21" t="str">
        <f>IFERROR(VLOOKUP(March[[#This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21" t="str">
        <f>IFERROR(VLOOKUP(March[[#This Row],[Drug Name4]],'Data Options'!$R$1:$S$100,2,FALSE), " ")</f>
        <v xml:space="preserve"> </v>
      </c>
      <c r="AI159" s="32"/>
      <c r="AJ159" s="32"/>
      <c r="AK159" s="53"/>
      <c r="AL159" s="21" t="str">
        <f>IFERROR(VLOOKUP(March[[#This Row],[Drug Name5]],'Data Options'!$R$1:$S$100,2,FALSE), " ")</f>
        <v xml:space="preserve"> </v>
      </c>
      <c r="AM159" s="32"/>
      <c r="AN159" s="32"/>
      <c r="AO159" s="53"/>
      <c r="AP159" s="21" t="str">
        <f>IFERROR(VLOOKUP(March[[#This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21" t="str">
        <f>IFERROR(VLOOKUP(March[[#This Row],[Drug Name7]],'Data Options'!$R$1:$S$100,2,FALSE), " ")</f>
        <v xml:space="preserve"> </v>
      </c>
      <c r="AZ159" s="32"/>
      <c r="BA159" s="32"/>
      <c r="BB159" s="53"/>
      <c r="BC159" s="21" t="str">
        <f>IFERROR(VLOOKUP(March[[#This Row],[Drug Name8]],'Data Options'!$R$1:$S$100,2,FALSE), " ")</f>
        <v xml:space="preserve"> </v>
      </c>
      <c r="BD159" s="32"/>
      <c r="BE159" s="32"/>
      <c r="BF159" s="53"/>
      <c r="BG159" s="21" t="str">
        <f>IFERROR(VLOOKUP(March[[#This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21" t="str">
        <f>IFERROR(VLOOKUP(March[[#This Row],[Drug Name]],'Data Options'!$R$1:$S$100,2,FALSE), " ")</f>
        <v xml:space="preserve"> </v>
      </c>
      <c r="R160" s="32"/>
      <c r="S160" s="32"/>
      <c r="T160" s="53"/>
      <c r="U160" s="21" t="str">
        <f>IFERROR(VLOOKUP(March[[#This Row],[Drug Name2]],'Data Options'!$R$1:$S$100,2,FALSE), " ")</f>
        <v xml:space="preserve"> </v>
      </c>
      <c r="V160" s="32"/>
      <c r="W160" s="32"/>
      <c r="X160" s="53"/>
      <c r="Y160" s="21" t="str">
        <f>IFERROR(VLOOKUP(March[[#This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21" t="str">
        <f>IFERROR(VLOOKUP(March[[#This Row],[Drug Name4]],'Data Options'!$R$1:$S$100,2,FALSE), " ")</f>
        <v xml:space="preserve"> </v>
      </c>
      <c r="AI160" s="32"/>
      <c r="AJ160" s="32"/>
      <c r="AK160" s="53"/>
      <c r="AL160" s="21" t="str">
        <f>IFERROR(VLOOKUP(March[[#This Row],[Drug Name5]],'Data Options'!$R$1:$S$100,2,FALSE), " ")</f>
        <v xml:space="preserve"> </v>
      </c>
      <c r="AM160" s="32"/>
      <c r="AN160" s="32"/>
      <c r="AO160" s="53"/>
      <c r="AP160" s="21" t="str">
        <f>IFERROR(VLOOKUP(March[[#This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21" t="str">
        <f>IFERROR(VLOOKUP(March[[#This Row],[Drug Name7]],'Data Options'!$R$1:$S$100,2,FALSE), " ")</f>
        <v xml:space="preserve"> </v>
      </c>
      <c r="AZ160" s="32"/>
      <c r="BA160" s="32"/>
      <c r="BB160" s="53"/>
      <c r="BC160" s="21" t="str">
        <f>IFERROR(VLOOKUP(March[[#This Row],[Drug Name8]],'Data Options'!$R$1:$S$100,2,FALSE), " ")</f>
        <v xml:space="preserve"> </v>
      </c>
      <c r="BD160" s="32"/>
      <c r="BE160" s="32"/>
      <c r="BF160" s="53"/>
      <c r="BG160" s="21" t="str">
        <f>IFERROR(VLOOKUP(March[[#This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21" t="str">
        <f>IFERROR(VLOOKUP(March[[#This Row],[Drug Name]],'Data Options'!$R$1:$S$100,2,FALSE), " ")</f>
        <v xml:space="preserve"> </v>
      </c>
      <c r="R161" s="32"/>
      <c r="S161" s="32"/>
      <c r="T161" s="53"/>
      <c r="U161" s="21" t="str">
        <f>IFERROR(VLOOKUP(March[[#This Row],[Drug Name2]],'Data Options'!$R$1:$S$100,2,FALSE), " ")</f>
        <v xml:space="preserve"> </v>
      </c>
      <c r="V161" s="32"/>
      <c r="W161" s="32"/>
      <c r="X161" s="53"/>
      <c r="Y161" s="21" t="str">
        <f>IFERROR(VLOOKUP(March[[#This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21" t="str">
        <f>IFERROR(VLOOKUP(March[[#This Row],[Drug Name4]],'Data Options'!$R$1:$S$100,2,FALSE), " ")</f>
        <v xml:space="preserve"> </v>
      </c>
      <c r="AI161" s="32"/>
      <c r="AJ161" s="32"/>
      <c r="AK161" s="53"/>
      <c r="AL161" s="21" t="str">
        <f>IFERROR(VLOOKUP(March[[#This Row],[Drug Name5]],'Data Options'!$R$1:$S$100,2,FALSE), " ")</f>
        <v xml:space="preserve"> </v>
      </c>
      <c r="AM161" s="32"/>
      <c r="AN161" s="32"/>
      <c r="AO161" s="53"/>
      <c r="AP161" s="21" t="str">
        <f>IFERROR(VLOOKUP(March[[#This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21" t="str">
        <f>IFERROR(VLOOKUP(March[[#This Row],[Drug Name7]],'Data Options'!$R$1:$S$100,2,FALSE), " ")</f>
        <v xml:space="preserve"> </v>
      </c>
      <c r="AZ161" s="32"/>
      <c r="BA161" s="32"/>
      <c r="BB161" s="53"/>
      <c r="BC161" s="21" t="str">
        <f>IFERROR(VLOOKUP(March[[#This Row],[Drug Name8]],'Data Options'!$R$1:$S$100,2,FALSE), " ")</f>
        <v xml:space="preserve"> </v>
      </c>
      <c r="BD161" s="32"/>
      <c r="BE161" s="32"/>
      <c r="BF161" s="53"/>
      <c r="BG161" s="21" t="str">
        <f>IFERROR(VLOOKUP(March[[#This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21" t="str">
        <f>IFERROR(VLOOKUP(March[[#This Row],[Drug Name]],'Data Options'!$R$1:$S$100,2,FALSE), " ")</f>
        <v xml:space="preserve"> </v>
      </c>
      <c r="R162" s="32"/>
      <c r="S162" s="32"/>
      <c r="T162" s="53"/>
      <c r="U162" s="21" t="str">
        <f>IFERROR(VLOOKUP(March[[#This Row],[Drug Name2]],'Data Options'!$R$1:$S$100,2,FALSE), " ")</f>
        <v xml:space="preserve"> </v>
      </c>
      <c r="V162" s="32"/>
      <c r="W162" s="32"/>
      <c r="X162" s="53"/>
      <c r="Y162" s="21" t="str">
        <f>IFERROR(VLOOKUP(March[[#This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21" t="str">
        <f>IFERROR(VLOOKUP(March[[#This Row],[Drug Name4]],'Data Options'!$R$1:$S$100,2,FALSE), " ")</f>
        <v xml:space="preserve"> </v>
      </c>
      <c r="AI162" s="32"/>
      <c r="AJ162" s="32"/>
      <c r="AK162" s="53"/>
      <c r="AL162" s="21" t="str">
        <f>IFERROR(VLOOKUP(March[[#This Row],[Drug Name5]],'Data Options'!$R$1:$S$100,2,FALSE), " ")</f>
        <v xml:space="preserve"> </v>
      </c>
      <c r="AM162" s="32"/>
      <c r="AN162" s="32"/>
      <c r="AO162" s="53"/>
      <c r="AP162" s="21" t="str">
        <f>IFERROR(VLOOKUP(March[[#This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21" t="str">
        <f>IFERROR(VLOOKUP(March[[#This Row],[Drug Name7]],'Data Options'!$R$1:$S$100,2,FALSE), " ")</f>
        <v xml:space="preserve"> </v>
      </c>
      <c r="AZ162" s="32"/>
      <c r="BA162" s="32"/>
      <c r="BB162" s="53"/>
      <c r="BC162" s="21" t="str">
        <f>IFERROR(VLOOKUP(March[[#This Row],[Drug Name8]],'Data Options'!$R$1:$S$100,2,FALSE), " ")</f>
        <v xml:space="preserve"> </v>
      </c>
      <c r="BD162" s="32"/>
      <c r="BE162" s="32"/>
      <c r="BF162" s="53"/>
      <c r="BG162" s="21" t="str">
        <f>IFERROR(VLOOKUP(March[[#This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21" t="str">
        <f>IFERROR(VLOOKUP(March[[#This Row],[Drug Name]],'Data Options'!$R$1:$S$100,2,FALSE), " ")</f>
        <v xml:space="preserve"> </v>
      </c>
      <c r="R163" s="32"/>
      <c r="S163" s="32"/>
      <c r="T163" s="53"/>
      <c r="U163" s="21" t="str">
        <f>IFERROR(VLOOKUP(March[[#This Row],[Drug Name2]],'Data Options'!$R$1:$S$100,2,FALSE), " ")</f>
        <v xml:space="preserve"> </v>
      </c>
      <c r="V163" s="32"/>
      <c r="W163" s="32"/>
      <c r="X163" s="53"/>
      <c r="Y163" s="21" t="str">
        <f>IFERROR(VLOOKUP(March[[#This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21" t="str">
        <f>IFERROR(VLOOKUP(March[[#This Row],[Drug Name4]],'Data Options'!$R$1:$S$100,2,FALSE), " ")</f>
        <v xml:space="preserve"> </v>
      </c>
      <c r="AI163" s="32"/>
      <c r="AJ163" s="32"/>
      <c r="AK163" s="53"/>
      <c r="AL163" s="21" t="str">
        <f>IFERROR(VLOOKUP(March[[#This Row],[Drug Name5]],'Data Options'!$R$1:$S$100,2,FALSE), " ")</f>
        <v xml:space="preserve"> </v>
      </c>
      <c r="AM163" s="32"/>
      <c r="AN163" s="32"/>
      <c r="AO163" s="53"/>
      <c r="AP163" s="21" t="str">
        <f>IFERROR(VLOOKUP(March[[#This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21" t="str">
        <f>IFERROR(VLOOKUP(March[[#This Row],[Drug Name7]],'Data Options'!$R$1:$S$100,2,FALSE), " ")</f>
        <v xml:space="preserve"> </v>
      </c>
      <c r="AZ163" s="32"/>
      <c r="BA163" s="32"/>
      <c r="BB163" s="53"/>
      <c r="BC163" s="21" t="str">
        <f>IFERROR(VLOOKUP(March[[#This Row],[Drug Name8]],'Data Options'!$R$1:$S$100,2,FALSE), " ")</f>
        <v xml:space="preserve"> </v>
      </c>
      <c r="BD163" s="32"/>
      <c r="BE163" s="32"/>
      <c r="BF163" s="53"/>
      <c r="BG163" s="21" t="str">
        <f>IFERROR(VLOOKUP(March[[#This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21" t="str">
        <f>IFERROR(VLOOKUP(March[[#This Row],[Drug Name]],'Data Options'!$R$1:$S$100,2,FALSE), " ")</f>
        <v xml:space="preserve"> </v>
      </c>
      <c r="R164" s="32"/>
      <c r="S164" s="32"/>
      <c r="T164" s="53"/>
      <c r="U164" s="21" t="str">
        <f>IFERROR(VLOOKUP(March[[#This Row],[Drug Name2]],'Data Options'!$R$1:$S$100,2,FALSE), " ")</f>
        <v xml:space="preserve"> </v>
      </c>
      <c r="V164" s="32"/>
      <c r="W164" s="32"/>
      <c r="X164" s="53"/>
      <c r="Y164" s="21" t="str">
        <f>IFERROR(VLOOKUP(March[[#This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21" t="str">
        <f>IFERROR(VLOOKUP(March[[#This Row],[Drug Name4]],'Data Options'!$R$1:$S$100,2,FALSE), " ")</f>
        <v xml:space="preserve"> </v>
      </c>
      <c r="AI164" s="32"/>
      <c r="AJ164" s="32"/>
      <c r="AK164" s="53"/>
      <c r="AL164" s="21" t="str">
        <f>IFERROR(VLOOKUP(March[[#This Row],[Drug Name5]],'Data Options'!$R$1:$S$100,2,FALSE), " ")</f>
        <v xml:space="preserve"> </v>
      </c>
      <c r="AM164" s="32"/>
      <c r="AN164" s="32"/>
      <c r="AO164" s="53"/>
      <c r="AP164" s="21" t="str">
        <f>IFERROR(VLOOKUP(March[[#This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21" t="str">
        <f>IFERROR(VLOOKUP(March[[#This Row],[Drug Name7]],'Data Options'!$R$1:$S$100,2,FALSE), " ")</f>
        <v xml:space="preserve"> </v>
      </c>
      <c r="AZ164" s="32"/>
      <c r="BA164" s="32"/>
      <c r="BB164" s="53"/>
      <c r="BC164" s="21" t="str">
        <f>IFERROR(VLOOKUP(March[[#This Row],[Drug Name8]],'Data Options'!$R$1:$S$100,2,FALSE), " ")</f>
        <v xml:space="preserve"> </v>
      </c>
      <c r="BD164" s="32"/>
      <c r="BE164" s="32"/>
      <c r="BF164" s="53"/>
      <c r="BG164" s="21" t="str">
        <f>IFERROR(VLOOKUP(March[[#This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21" t="str">
        <f>IFERROR(VLOOKUP(March[[#This Row],[Drug Name]],'Data Options'!$R$1:$S$100,2,FALSE), " ")</f>
        <v xml:space="preserve"> </v>
      </c>
      <c r="R165" s="32"/>
      <c r="S165" s="32"/>
      <c r="T165" s="53"/>
      <c r="U165" s="21" t="str">
        <f>IFERROR(VLOOKUP(March[[#This Row],[Drug Name2]],'Data Options'!$R$1:$S$100,2,FALSE), " ")</f>
        <v xml:space="preserve"> </v>
      </c>
      <c r="V165" s="32"/>
      <c r="W165" s="32"/>
      <c r="X165" s="53"/>
      <c r="Y165" s="21" t="str">
        <f>IFERROR(VLOOKUP(March[[#This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21" t="str">
        <f>IFERROR(VLOOKUP(March[[#This Row],[Drug Name4]],'Data Options'!$R$1:$S$100,2,FALSE), " ")</f>
        <v xml:space="preserve"> </v>
      </c>
      <c r="AI165" s="32"/>
      <c r="AJ165" s="32"/>
      <c r="AK165" s="53"/>
      <c r="AL165" s="21" t="str">
        <f>IFERROR(VLOOKUP(March[[#This Row],[Drug Name5]],'Data Options'!$R$1:$S$100,2,FALSE), " ")</f>
        <v xml:space="preserve"> </v>
      </c>
      <c r="AM165" s="32"/>
      <c r="AN165" s="32"/>
      <c r="AO165" s="53"/>
      <c r="AP165" s="21" t="str">
        <f>IFERROR(VLOOKUP(March[[#This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21" t="str">
        <f>IFERROR(VLOOKUP(March[[#This Row],[Drug Name7]],'Data Options'!$R$1:$S$100,2,FALSE), " ")</f>
        <v xml:space="preserve"> </v>
      </c>
      <c r="AZ165" s="32"/>
      <c r="BA165" s="32"/>
      <c r="BB165" s="53"/>
      <c r="BC165" s="21" t="str">
        <f>IFERROR(VLOOKUP(March[[#This Row],[Drug Name8]],'Data Options'!$R$1:$S$100,2,FALSE), " ")</f>
        <v xml:space="preserve"> </v>
      </c>
      <c r="BD165" s="32"/>
      <c r="BE165" s="32"/>
      <c r="BF165" s="53"/>
      <c r="BG165" s="21" t="str">
        <f>IFERROR(VLOOKUP(March[[#This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21" t="str">
        <f>IFERROR(VLOOKUP(March[[#This Row],[Drug Name]],'Data Options'!$R$1:$S$100,2,FALSE), " ")</f>
        <v xml:space="preserve"> </v>
      </c>
      <c r="R166" s="32"/>
      <c r="S166" s="32"/>
      <c r="T166" s="53"/>
      <c r="U166" s="21" t="str">
        <f>IFERROR(VLOOKUP(March[[#This Row],[Drug Name2]],'Data Options'!$R$1:$S$100,2,FALSE), " ")</f>
        <v xml:space="preserve"> </v>
      </c>
      <c r="V166" s="32"/>
      <c r="W166" s="32"/>
      <c r="X166" s="53"/>
      <c r="Y166" s="21" t="str">
        <f>IFERROR(VLOOKUP(March[[#This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21" t="str">
        <f>IFERROR(VLOOKUP(March[[#This Row],[Drug Name4]],'Data Options'!$R$1:$S$100,2,FALSE), " ")</f>
        <v xml:space="preserve"> </v>
      </c>
      <c r="AI166" s="32"/>
      <c r="AJ166" s="32"/>
      <c r="AK166" s="53"/>
      <c r="AL166" s="21" t="str">
        <f>IFERROR(VLOOKUP(March[[#This Row],[Drug Name5]],'Data Options'!$R$1:$S$100,2,FALSE), " ")</f>
        <v xml:space="preserve"> </v>
      </c>
      <c r="AM166" s="32"/>
      <c r="AN166" s="32"/>
      <c r="AO166" s="53"/>
      <c r="AP166" s="21" t="str">
        <f>IFERROR(VLOOKUP(March[[#This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21" t="str">
        <f>IFERROR(VLOOKUP(March[[#This Row],[Drug Name7]],'Data Options'!$R$1:$S$100,2,FALSE), " ")</f>
        <v xml:space="preserve"> </v>
      </c>
      <c r="AZ166" s="32"/>
      <c r="BA166" s="32"/>
      <c r="BB166" s="53"/>
      <c r="BC166" s="21" t="str">
        <f>IFERROR(VLOOKUP(March[[#This Row],[Drug Name8]],'Data Options'!$R$1:$S$100,2,FALSE), " ")</f>
        <v xml:space="preserve"> </v>
      </c>
      <c r="BD166" s="32"/>
      <c r="BE166" s="32"/>
      <c r="BF166" s="53"/>
      <c r="BG166" s="21" t="str">
        <f>IFERROR(VLOOKUP(March[[#This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21" t="str">
        <f>IFERROR(VLOOKUP(March[[#This Row],[Drug Name]],'Data Options'!$R$1:$S$100,2,FALSE), " ")</f>
        <v xml:space="preserve"> </v>
      </c>
      <c r="R167" s="32"/>
      <c r="S167" s="32"/>
      <c r="T167" s="53"/>
      <c r="U167" s="21" t="str">
        <f>IFERROR(VLOOKUP(March[[#This Row],[Drug Name2]],'Data Options'!$R$1:$S$100,2,FALSE), " ")</f>
        <v xml:space="preserve"> </v>
      </c>
      <c r="V167" s="32"/>
      <c r="W167" s="32"/>
      <c r="X167" s="53"/>
      <c r="Y167" s="21" t="str">
        <f>IFERROR(VLOOKUP(March[[#This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21" t="str">
        <f>IFERROR(VLOOKUP(March[[#This Row],[Drug Name4]],'Data Options'!$R$1:$S$100,2,FALSE), " ")</f>
        <v xml:space="preserve"> </v>
      </c>
      <c r="AI167" s="32"/>
      <c r="AJ167" s="32"/>
      <c r="AK167" s="53"/>
      <c r="AL167" s="21" t="str">
        <f>IFERROR(VLOOKUP(March[[#This Row],[Drug Name5]],'Data Options'!$R$1:$S$100,2,FALSE), " ")</f>
        <v xml:space="preserve"> </v>
      </c>
      <c r="AM167" s="32"/>
      <c r="AN167" s="32"/>
      <c r="AO167" s="53"/>
      <c r="AP167" s="21" t="str">
        <f>IFERROR(VLOOKUP(March[[#This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21" t="str">
        <f>IFERROR(VLOOKUP(March[[#This Row],[Drug Name7]],'Data Options'!$R$1:$S$100,2,FALSE), " ")</f>
        <v xml:space="preserve"> </v>
      </c>
      <c r="AZ167" s="32"/>
      <c r="BA167" s="32"/>
      <c r="BB167" s="53"/>
      <c r="BC167" s="21" t="str">
        <f>IFERROR(VLOOKUP(March[[#This Row],[Drug Name8]],'Data Options'!$R$1:$S$100,2,FALSE), " ")</f>
        <v xml:space="preserve"> </v>
      </c>
      <c r="BD167" s="32"/>
      <c r="BE167" s="32"/>
      <c r="BF167" s="53"/>
      <c r="BG167" s="21" t="str">
        <f>IFERROR(VLOOKUP(March[[#This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21" t="str">
        <f>IFERROR(VLOOKUP(March[[#This Row],[Drug Name]],'Data Options'!$R$1:$S$100,2,FALSE), " ")</f>
        <v xml:space="preserve"> </v>
      </c>
      <c r="R168" s="32"/>
      <c r="S168" s="32"/>
      <c r="T168" s="53"/>
      <c r="U168" s="21" t="str">
        <f>IFERROR(VLOOKUP(March[[#This Row],[Drug Name2]],'Data Options'!$R$1:$S$100,2,FALSE), " ")</f>
        <v xml:space="preserve"> </v>
      </c>
      <c r="V168" s="32"/>
      <c r="W168" s="32"/>
      <c r="X168" s="53"/>
      <c r="Y168" s="21" t="str">
        <f>IFERROR(VLOOKUP(March[[#This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21" t="str">
        <f>IFERROR(VLOOKUP(March[[#This Row],[Drug Name4]],'Data Options'!$R$1:$S$100,2,FALSE), " ")</f>
        <v xml:space="preserve"> </v>
      </c>
      <c r="AI168" s="32"/>
      <c r="AJ168" s="32"/>
      <c r="AK168" s="53"/>
      <c r="AL168" s="21" t="str">
        <f>IFERROR(VLOOKUP(March[[#This Row],[Drug Name5]],'Data Options'!$R$1:$S$100,2,FALSE), " ")</f>
        <v xml:space="preserve"> </v>
      </c>
      <c r="AM168" s="32"/>
      <c r="AN168" s="32"/>
      <c r="AO168" s="53"/>
      <c r="AP168" s="21" t="str">
        <f>IFERROR(VLOOKUP(March[[#This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21" t="str">
        <f>IFERROR(VLOOKUP(March[[#This Row],[Drug Name7]],'Data Options'!$R$1:$S$100,2,FALSE), " ")</f>
        <v xml:space="preserve"> </v>
      </c>
      <c r="AZ168" s="32"/>
      <c r="BA168" s="32"/>
      <c r="BB168" s="53"/>
      <c r="BC168" s="21" t="str">
        <f>IFERROR(VLOOKUP(March[[#This Row],[Drug Name8]],'Data Options'!$R$1:$S$100,2,FALSE), " ")</f>
        <v xml:space="preserve"> </v>
      </c>
      <c r="BD168" s="32"/>
      <c r="BE168" s="32"/>
      <c r="BF168" s="53"/>
      <c r="BG168" s="21" t="str">
        <f>IFERROR(VLOOKUP(March[[#This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21" t="str">
        <f>IFERROR(VLOOKUP(March[[#This Row],[Drug Name]],'Data Options'!$R$1:$S$100,2,FALSE), " ")</f>
        <v xml:space="preserve"> </v>
      </c>
      <c r="R169" s="32"/>
      <c r="S169" s="32"/>
      <c r="T169" s="53"/>
      <c r="U169" s="21" t="str">
        <f>IFERROR(VLOOKUP(March[[#This Row],[Drug Name2]],'Data Options'!$R$1:$S$100,2,FALSE), " ")</f>
        <v xml:space="preserve"> </v>
      </c>
      <c r="V169" s="32"/>
      <c r="W169" s="32"/>
      <c r="X169" s="53"/>
      <c r="Y169" s="21" t="str">
        <f>IFERROR(VLOOKUP(March[[#This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21" t="str">
        <f>IFERROR(VLOOKUP(March[[#This Row],[Drug Name4]],'Data Options'!$R$1:$S$100,2,FALSE), " ")</f>
        <v xml:space="preserve"> </v>
      </c>
      <c r="AI169" s="32"/>
      <c r="AJ169" s="32"/>
      <c r="AK169" s="53"/>
      <c r="AL169" s="21" t="str">
        <f>IFERROR(VLOOKUP(March[[#This Row],[Drug Name5]],'Data Options'!$R$1:$S$100,2,FALSE), " ")</f>
        <v xml:space="preserve"> </v>
      </c>
      <c r="AM169" s="32"/>
      <c r="AN169" s="32"/>
      <c r="AO169" s="53"/>
      <c r="AP169" s="21" t="str">
        <f>IFERROR(VLOOKUP(March[[#This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21" t="str">
        <f>IFERROR(VLOOKUP(March[[#This Row],[Drug Name7]],'Data Options'!$R$1:$S$100,2,FALSE), " ")</f>
        <v xml:space="preserve"> </v>
      </c>
      <c r="AZ169" s="32"/>
      <c r="BA169" s="32"/>
      <c r="BB169" s="53"/>
      <c r="BC169" s="21" t="str">
        <f>IFERROR(VLOOKUP(March[[#This Row],[Drug Name8]],'Data Options'!$R$1:$S$100,2,FALSE), " ")</f>
        <v xml:space="preserve"> </v>
      </c>
      <c r="BD169" s="32"/>
      <c r="BE169" s="32"/>
      <c r="BF169" s="53"/>
      <c r="BG169" s="21" t="str">
        <f>IFERROR(VLOOKUP(March[[#This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21" t="str">
        <f>IFERROR(VLOOKUP(March[[#This Row],[Drug Name]],'Data Options'!$R$1:$S$100,2,FALSE), " ")</f>
        <v xml:space="preserve"> </v>
      </c>
      <c r="R170" s="32"/>
      <c r="S170" s="32"/>
      <c r="T170" s="53"/>
      <c r="U170" s="21" t="str">
        <f>IFERROR(VLOOKUP(March[[#This Row],[Drug Name2]],'Data Options'!$R$1:$S$100,2,FALSE), " ")</f>
        <v xml:space="preserve"> </v>
      </c>
      <c r="V170" s="32"/>
      <c r="W170" s="32"/>
      <c r="X170" s="53"/>
      <c r="Y170" s="21" t="str">
        <f>IFERROR(VLOOKUP(March[[#This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21" t="str">
        <f>IFERROR(VLOOKUP(March[[#This Row],[Drug Name4]],'Data Options'!$R$1:$S$100,2,FALSE), " ")</f>
        <v xml:space="preserve"> </v>
      </c>
      <c r="AI170" s="32"/>
      <c r="AJ170" s="32"/>
      <c r="AK170" s="53"/>
      <c r="AL170" s="21" t="str">
        <f>IFERROR(VLOOKUP(March[[#This Row],[Drug Name5]],'Data Options'!$R$1:$S$100,2,FALSE), " ")</f>
        <v xml:space="preserve"> </v>
      </c>
      <c r="AM170" s="32"/>
      <c r="AN170" s="32"/>
      <c r="AO170" s="53"/>
      <c r="AP170" s="21" t="str">
        <f>IFERROR(VLOOKUP(March[[#This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21" t="str">
        <f>IFERROR(VLOOKUP(March[[#This Row],[Drug Name7]],'Data Options'!$R$1:$S$100,2,FALSE), " ")</f>
        <v xml:space="preserve"> </v>
      </c>
      <c r="AZ170" s="32"/>
      <c r="BA170" s="32"/>
      <c r="BB170" s="53"/>
      <c r="BC170" s="21" t="str">
        <f>IFERROR(VLOOKUP(March[[#This Row],[Drug Name8]],'Data Options'!$R$1:$S$100,2,FALSE), " ")</f>
        <v xml:space="preserve"> </v>
      </c>
      <c r="BD170" s="32"/>
      <c r="BE170" s="32"/>
      <c r="BF170" s="53"/>
      <c r="BG170" s="21" t="str">
        <f>IFERROR(VLOOKUP(March[[#This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21" t="str">
        <f>IFERROR(VLOOKUP(March[[#This Row],[Drug Name]],'Data Options'!$R$1:$S$100,2,FALSE), " ")</f>
        <v xml:space="preserve"> </v>
      </c>
      <c r="R171" s="32"/>
      <c r="S171" s="32"/>
      <c r="T171" s="53"/>
      <c r="U171" s="21" t="str">
        <f>IFERROR(VLOOKUP(March[[#This Row],[Drug Name2]],'Data Options'!$R$1:$S$100,2,FALSE), " ")</f>
        <v xml:space="preserve"> </v>
      </c>
      <c r="V171" s="32"/>
      <c r="W171" s="32"/>
      <c r="X171" s="53"/>
      <c r="Y171" s="21" t="str">
        <f>IFERROR(VLOOKUP(March[[#This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21" t="str">
        <f>IFERROR(VLOOKUP(March[[#This Row],[Drug Name4]],'Data Options'!$R$1:$S$100,2,FALSE), " ")</f>
        <v xml:space="preserve"> </v>
      </c>
      <c r="AI171" s="32"/>
      <c r="AJ171" s="32"/>
      <c r="AK171" s="53"/>
      <c r="AL171" s="21" t="str">
        <f>IFERROR(VLOOKUP(March[[#This Row],[Drug Name5]],'Data Options'!$R$1:$S$100,2,FALSE), " ")</f>
        <v xml:space="preserve"> </v>
      </c>
      <c r="AM171" s="32"/>
      <c r="AN171" s="32"/>
      <c r="AO171" s="53"/>
      <c r="AP171" s="21" t="str">
        <f>IFERROR(VLOOKUP(March[[#This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21" t="str">
        <f>IFERROR(VLOOKUP(March[[#This Row],[Drug Name7]],'Data Options'!$R$1:$S$100,2,FALSE), " ")</f>
        <v xml:space="preserve"> </v>
      </c>
      <c r="AZ171" s="32"/>
      <c r="BA171" s="32"/>
      <c r="BB171" s="53"/>
      <c r="BC171" s="21" t="str">
        <f>IFERROR(VLOOKUP(March[[#This Row],[Drug Name8]],'Data Options'!$R$1:$S$100,2,FALSE), " ")</f>
        <v xml:space="preserve"> </v>
      </c>
      <c r="BD171" s="32"/>
      <c r="BE171" s="32"/>
      <c r="BF171" s="53"/>
      <c r="BG171" s="21" t="str">
        <f>IFERROR(VLOOKUP(March[[#This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21" t="str">
        <f>IFERROR(VLOOKUP(March[[#This Row],[Drug Name]],'Data Options'!$R$1:$S$100,2,FALSE), " ")</f>
        <v xml:space="preserve"> </v>
      </c>
      <c r="R172" s="32"/>
      <c r="S172" s="32"/>
      <c r="T172" s="53"/>
      <c r="U172" s="21" t="str">
        <f>IFERROR(VLOOKUP(March[[#This Row],[Drug Name2]],'Data Options'!$R$1:$S$100,2,FALSE), " ")</f>
        <v xml:space="preserve"> </v>
      </c>
      <c r="V172" s="32"/>
      <c r="W172" s="32"/>
      <c r="X172" s="53"/>
      <c r="Y172" s="21" t="str">
        <f>IFERROR(VLOOKUP(March[[#This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21" t="str">
        <f>IFERROR(VLOOKUP(March[[#This Row],[Drug Name4]],'Data Options'!$R$1:$S$100,2,FALSE), " ")</f>
        <v xml:space="preserve"> </v>
      </c>
      <c r="AI172" s="32"/>
      <c r="AJ172" s="32"/>
      <c r="AK172" s="53"/>
      <c r="AL172" s="21" t="str">
        <f>IFERROR(VLOOKUP(March[[#This Row],[Drug Name5]],'Data Options'!$R$1:$S$100,2,FALSE), " ")</f>
        <v xml:space="preserve"> </v>
      </c>
      <c r="AM172" s="32"/>
      <c r="AN172" s="32"/>
      <c r="AO172" s="53"/>
      <c r="AP172" s="21" t="str">
        <f>IFERROR(VLOOKUP(March[[#This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21" t="str">
        <f>IFERROR(VLOOKUP(March[[#This Row],[Drug Name7]],'Data Options'!$R$1:$S$100,2,FALSE), " ")</f>
        <v xml:space="preserve"> </v>
      </c>
      <c r="AZ172" s="32"/>
      <c r="BA172" s="32"/>
      <c r="BB172" s="53"/>
      <c r="BC172" s="21" t="str">
        <f>IFERROR(VLOOKUP(March[[#This Row],[Drug Name8]],'Data Options'!$R$1:$S$100,2,FALSE), " ")</f>
        <v xml:space="preserve"> </v>
      </c>
      <c r="BD172" s="32"/>
      <c r="BE172" s="32"/>
      <c r="BF172" s="53"/>
      <c r="BG172" s="21" t="str">
        <f>IFERROR(VLOOKUP(March[[#This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21" t="str">
        <f>IFERROR(VLOOKUP(March[[#This Row],[Drug Name]],'Data Options'!$R$1:$S$100,2,FALSE), " ")</f>
        <v xml:space="preserve"> </v>
      </c>
      <c r="R173" s="32"/>
      <c r="S173" s="32"/>
      <c r="T173" s="53"/>
      <c r="U173" s="21" t="str">
        <f>IFERROR(VLOOKUP(March[[#This Row],[Drug Name2]],'Data Options'!$R$1:$S$100,2,FALSE), " ")</f>
        <v xml:space="preserve"> </v>
      </c>
      <c r="V173" s="32"/>
      <c r="W173" s="32"/>
      <c r="X173" s="53"/>
      <c r="Y173" s="21" t="str">
        <f>IFERROR(VLOOKUP(March[[#This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21" t="str">
        <f>IFERROR(VLOOKUP(March[[#This Row],[Drug Name4]],'Data Options'!$R$1:$S$100,2,FALSE), " ")</f>
        <v xml:space="preserve"> </v>
      </c>
      <c r="AI173" s="32"/>
      <c r="AJ173" s="32"/>
      <c r="AK173" s="53"/>
      <c r="AL173" s="21" t="str">
        <f>IFERROR(VLOOKUP(March[[#This Row],[Drug Name5]],'Data Options'!$R$1:$S$100,2,FALSE), " ")</f>
        <v xml:space="preserve"> </v>
      </c>
      <c r="AM173" s="32"/>
      <c r="AN173" s="32"/>
      <c r="AO173" s="53"/>
      <c r="AP173" s="21" t="str">
        <f>IFERROR(VLOOKUP(March[[#This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21" t="str">
        <f>IFERROR(VLOOKUP(March[[#This Row],[Drug Name7]],'Data Options'!$R$1:$S$100,2,FALSE), " ")</f>
        <v xml:space="preserve"> </v>
      </c>
      <c r="AZ173" s="32"/>
      <c r="BA173" s="32"/>
      <c r="BB173" s="53"/>
      <c r="BC173" s="21" t="str">
        <f>IFERROR(VLOOKUP(March[[#This Row],[Drug Name8]],'Data Options'!$R$1:$S$100,2,FALSE), " ")</f>
        <v xml:space="preserve"> </v>
      </c>
      <c r="BD173" s="32"/>
      <c r="BE173" s="32"/>
      <c r="BF173" s="53"/>
      <c r="BG173" s="21" t="str">
        <f>IFERROR(VLOOKUP(March[[#This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21" t="str">
        <f>IFERROR(VLOOKUP(March[[#This Row],[Drug Name]],'Data Options'!$R$1:$S$100,2,FALSE), " ")</f>
        <v xml:space="preserve"> </v>
      </c>
      <c r="R174" s="32"/>
      <c r="S174" s="32"/>
      <c r="T174" s="53"/>
      <c r="U174" s="21" t="str">
        <f>IFERROR(VLOOKUP(March[[#This Row],[Drug Name2]],'Data Options'!$R$1:$S$100,2,FALSE), " ")</f>
        <v xml:space="preserve"> </v>
      </c>
      <c r="V174" s="32"/>
      <c r="W174" s="32"/>
      <c r="X174" s="53"/>
      <c r="Y174" s="21" t="str">
        <f>IFERROR(VLOOKUP(March[[#This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21" t="str">
        <f>IFERROR(VLOOKUP(March[[#This Row],[Drug Name4]],'Data Options'!$R$1:$S$100,2,FALSE), " ")</f>
        <v xml:space="preserve"> </v>
      </c>
      <c r="AI174" s="32"/>
      <c r="AJ174" s="32"/>
      <c r="AK174" s="53"/>
      <c r="AL174" s="21" t="str">
        <f>IFERROR(VLOOKUP(March[[#This Row],[Drug Name5]],'Data Options'!$R$1:$S$100,2,FALSE), " ")</f>
        <v xml:space="preserve"> </v>
      </c>
      <c r="AM174" s="32"/>
      <c r="AN174" s="32"/>
      <c r="AO174" s="53"/>
      <c r="AP174" s="21" t="str">
        <f>IFERROR(VLOOKUP(March[[#This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21" t="str">
        <f>IFERROR(VLOOKUP(March[[#This Row],[Drug Name7]],'Data Options'!$R$1:$S$100,2,FALSE), " ")</f>
        <v xml:space="preserve"> </v>
      </c>
      <c r="AZ174" s="32"/>
      <c r="BA174" s="32"/>
      <c r="BB174" s="53"/>
      <c r="BC174" s="21" t="str">
        <f>IFERROR(VLOOKUP(March[[#This Row],[Drug Name8]],'Data Options'!$R$1:$S$100,2,FALSE), " ")</f>
        <v xml:space="preserve"> </v>
      </c>
      <c r="BD174" s="32"/>
      <c r="BE174" s="32"/>
      <c r="BF174" s="53"/>
      <c r="BG174" s="21" t="str">
        <f>IFERROR(VLOOKUP(March[[#This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21" t="str">
        <f>IFERROR(VLOOKUP(March[[#This Row],[Drug Name]],'Data Options'!$R$1:$S$100,2,FALSE), " ")</f>
        <v xml:space="preserve"> </v>
      </c>
      <c r="R175" s="32"/>
      <c r="S175" s="32"/>
      <c r="T175" s="53"/>
      <c r="U175" s="21" t="str">
        <f>IFERROR(VLOOKUP(March[[#This Row],[Drug Name2]],'Data Options'!$R$1:$S$100,2,FALSE), " ")</f>
        <v xml:space="preserve"> </v>
      </c>
      <c r="V175" s="32"/>
      <c r="W175" s="32"/>
      <c r="X175" s="53"/>
      <c r="Y175" s="21" t="str">
        <f>IFERROR(VLOOKUP(March[[#This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21" t="str">
        <f>IFERROR(VLOOKUP(March[[#This Row],[Drug Name4]],'Data Options'!$R$1:$S$100,2,FALSE), " ")</f>
        <v xml:space="preserve"> </v>
      </c>
      <c r="AI175" s="32"/>
      <c r="AJ175" s="32"/>
      <c r="AK175" s="53"/>
      <c r="AL175" s="21" t="str">
        <f>IFERROR(VLOOKUP(March[[#This Row],[Drug Name5]],'Data Options'!$R$1:$S$100,2,FALSE), " ")</f>
        <v xml:space="preserve"> </v>
      </c>
      <c r="AM175" s="32"/>
      <c r="AN175" s="32"/>
      <c r="AO175" s="53"/>
      <c r="AP175" s="21" t="str">
        <f>IFERROR(VLOOKUP(March[[#This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21" t="str">
        <f>IFERROR(VLOOKUP(March[[#This Row],[Drug Name7]],'Data Options'!$R$1:$S$100,2,FALSE), " ")</f>
        <v xml:space="preserve"> </v>
      </c>
      <c r="AZ175" s="32"/>
      <c r="BA175" s="32"/>
      <c r="BB175" s="53"/>
      <c r="BC175" s="21" t="str">
        <f>IFERROR(VLOOKUP(March[[#This Row],[Drug Name8]],'Data Options'!$R$1:$S$100,2,FALSE), " ")</f>
        <v xml:space="preserve"> </v>
      </c>
      <c r="BD175" s="32"/>
      <c r="BE175" s="32"/>
      <c r="BF175" s="53"/>
      <c r="BG175" s="21" t="str">
        <f>IFERROR(VLOOKUP(March[[#This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21" t="str">
        <f>IFERROR(VLOOKUP(March[[#This Row],[Drug Name]],'Data Options'!$R$1:$S$100,2,FALSE), " ")</f>
        <v xml:space="preserve"> </v>
      </c>
      <c r="R176" s="32"/>
      <c r="S176" s="32"/>
      <c r="T176" s="53"/>
      <c r="U176" s="21" t="str">
        <f>IFERROR(VLOOKUP(March[[#This Row],[Drug Name2]],'Data Options'!$R$1:$S$100,2,FALSE), " ")</f>
        <v xml:space="preserve"> </v>
      </c>
      <c r="V176" s="32"/>
      <c r="W176" s="32"/>
      <c r="X176" s="53"/>
      <c r="Y176" s="21" t="str">
        <f>IFERROR(VLOOKUP(March[[#This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21" t="str">
        <f>IFERROR(VLOOKUP(March[[#This Row],[Drug Name4]],'Data Options'!$R$1:$S$100,2,FALSE), " ")</f>
        <v xml:space="preserve"> </v>
      </c>
      <c r="AI176" s="32"/>
      <c r="AJ176" s="32"/>
      <c r="AK176" s="53"/>
      <c r="AL176" s="21" t="str">
        <f>IFERROR(VLOOKUP(March[[#This Row],[Drug Name5]],'Data Options'!$R$1:$S$100,2,FALSE), " ")</f>
        <v xml:space="preserve"> </v>
      </c>
      <c r="AM176" s="32"/>
      <c r="AN176" s="32"/>
      <c r="AO176" s="53"/>
      <c r="AP176" s="21" t="str">
        <f>IFERROR(VLOOKUP(March[[#This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21" t="str">
        <f>IFERROR(VLOOKUP(March[[#This Row],[Drug Name7]],'Data Options'!$R$1:$S$100,2,FALSE), " ")</f>
        <v xml:space="preserve"> </v>
      </c>
      <c r="AZ176" s="32"/>
      <c r="BA176" s="32"/>
      <c r="BB176" s="53"/>
      <c r="BC176" s="21" t="str">
        <f>IFERROR(VLOOKUP(March[[#This Row],[Drug Name8]],'Data Options'!$R$1:$S$100,2,FALSE), " ")</f>
        <v xml:space="preserve"> </v>
      </c>
      <c r="BD176" s="32"/>
      <c r="BE176" s="32"/>
      <c r="BF176" s="53"/>
      <c r="BG176" s="21" t="str">
        <f>IFERROR(VLOOKUP(March[[#This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21" t="str">
        <f>IFERROR(VLOOKUP(March[[#This Row],[Drug Name]],'Data Options'!$R$1:$S$100,2,FALSE), " ")</f>
        <v xml:space="preserve"> </v>
      </c>
      <c r="R177" s="32"/>
      <c r="S177" s="32"/>
      <c r="T177" s="53"/>
      <c r="U177" s="21" t="str">
        <f>IFERROR(VLOOKUP(March[[#This Row],[Drug Name2]],'Data Options'!$R$1:$S$100,2,FALSE), " ")</f>
        <v xml:space="preserve"> </v>
      </c>
      <c r="V177" s="32"/>
      <c r="W177" s="32"/>
      <c r="X177" s="53"/>
      <c r="Y177" s="21" t="str">
        <f>IFERROR(VLOOKUP(March[[#This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21" t="str">
        <f>IFERROR(VLOOKUP(March[[#This Row],[Drug Name4]],'Data Options'!$R$1:$S$100,2,FALSE), " ")</f>
        <v xml:space="preserve"> </v>
      </c>
      <c r="AI177" s="32"/>
      <c r="AJ177" s="32"/>
      <c r="AK177" s="53"/>
      <c r="AL177" s="21" t="str">
        <f>IFERROR(VLOOKUP(March[[#This Row],[Drug Name5]],'Data Options'!$R$1:$S$100,2,FALSE), " ")</f>
        <v xml:space="preserve"> </v>
      </c>
      <c r="AM177" s="32"/>
      <c r="AN177" s="32"/>
      <c r="AO177" s="53"/>
      <c r="AP177" s="21" t="str">
        <f>IFERROR(VLOOKUP(March[[#This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21" t="str">
        <f>IFERROR(VLOOKUP(March[[#This Row],[Drug Name7]],'Data Options'!$R$1:$S$100,2,FALSE), " ")</f>
        <v xml:space="preserve"> </v>
      </c>
      <c r="AZ177" s="32"/>
      <c r="BA177" s="32"/>
      <c r="BB177" s="53"/>
      <c r="BC177" s="21" t="str">
        <f>IFERROR(VLOOKUP(March[[#This Row],[Drug Name8]],'Data Options'!$R$1:$S$100,2,FALSE), " ")</f>
        <v xml:space="preserve"> </v>
      </c>
      <c r="BD177" s="32"/>
      <c r="BE177" s="32"/>
      <c r="BF177" s="53"/>
      <c r="BG177" s="21" t="str">
        <f>IFERROR(VLOOKUP(March[[#This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21" t="str">
        <f>IFERROR(VLOOKUP(March[[#This Row],[Drug Name]],'Data Options'!$R$1:$S$100,2,FALSE), " ")</f>
        <v xml:space="preserve"> </v>
      </c>
      <c r="R178" s="32"/>
      <c r="S178" s="32"/>
      <c r="T178" s="53"/>
      <c r="U178" s="21" t="str">
        <f>IFERROR(VLOOKUP(March[[#This Row],[Drug Name2]],'Data Options'!$R$1:$S$100,2,FALSE), " ")</f>
        <v xml:space="preserve"> </v>
      </c>
      <c r="V178" s="32"/>
      <c r="W178" s="32"/>
      <c r="X178" s="53"/>
      <c r="Y178" s="21" t="str">
        <f>IFERROR(VLOOKUP(March[[#This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21" t="str">
        <f>IFERROR(VLOOKUP(March[[#This Row],[Drug Name4]],'Data Options'!$R$1:$S$100,2,FALSE), " ")</f>
        <v xml:space="preserve"> </v>
      </c>
      <c r="AI178" s="32"/>
      <c r="AJ178" s="32"/>
      <c r="AK178" s="53"/>
      <c r="AL178" s="21" t="str">
        <f>IFERROR(VLOOKUP(March[[#This Row],[Drug Name5]],'Data Options'!$R$1:$S$100,2,FALSE), " ")</f>
        <v xml:space="preserve"> </v>
      </c>
      <c r="AM178" s="32"/>
      <c r="AN178" s="32"/>
      <c r="AO178" s="53"/>
      <c r="AP178" s="21" t="str">
        <f>IFERROR(VLOOKUP(March[[#This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21" t="str">
        <f>IFERROR(VLOOKUP(March[[#This Row],[Drug Name7]],'Data Options'!$R$1:$S$100,2,FALSE), " ")</f>
        <v xml:space="preserve"> </v>
      </c>
      <c r="AZ178" s="32"/>
      <c r="BA178" s="32"/>
      <c r="BB178" s="53"/>
      <c r="BC178" s="21" t="str">
        <f>IFERROR(VLOOKUP(March[[#This Row],[Drug Name8]],'Data Options'!$R$1:$S$100,2,FALSE), " ")</f>
        <v xml:space="preserve"> </v>
      </c>
      <c r="BD178" s="32"/>
      <c r="BE178" s="32"/>
      <c r="BF178" s="53"/>
      <c r="BG178" s="21" t="str">
        <f>IFERROR(VLOOKUP(March[[#This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21" t="str">
        <f>IFERROR(VLOOKUP(March[[#This Row],[Drug Name]],'Data Options'!$R$1:$S$100,2,FALSE), " ")</f>
        <v xml:space="preserve"> </v>
      </c>
      <c r="R179" s="32"/>
      <c r="S179" s="32"/>
      <c r="T179" s="53"/>
      <c r="U179" s="21" t="str">
        <f>IFERROR(VLOOKUP(March[[#This Row],[Drug Name2]],'Data Options'!$R$1:$S$100,2,FALSE), " ")</f>
        <v xml:space="preserve"> </v>
      </c>
      <c r="V179" s="32"/>
      <c r="W179" s="32"/>
      <c r="X179" s="53"/>
      <c r="Y179" s="21" t="str">
        <f>IFERROR(VLOOKUP(March[[#This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21" t="str">
        <f>IFERROR(VLOOKUP(March[[#This Row],[Drug Name4]],'Data Options'!$R$1:$S$100,2,FALSE), " ")</f>
        <v xml:space="preserve"> </v>
      </c>
      <c r="AI179" s="32"/>
      <c r="AJ179" s="32"/>
      <c r="AK179" s="53"/>
      <c r="AL179" s="21" t="str">
        <f>IFERROR(VLOOKUP(March[[#This Row],[Drug Name5]],'Data Options'!$R$1:$S$100,2,FALSE), " ")</f>
        <v xml:space="preserve"> </v>
      </c>
      <c r="AM179" s="32"/>
      <c r="AN179" s="32"/>
      <c r="AO179" s="53"/>
      <c r="AP179" s="21" t="str">
        <f>IFERROR(VLOOKUP(March[[#This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21" t="str">
        <f>IFERROR(VLOOKUP(March[[#This Row],[Drug Name7]],'Data Options'!$R$1:$S$100,2,FALSE), " ")</f>
        <v xml:space="preserve"> </v>
      </c>
      <c r="AZ179" s="32"/>
      <c r="BA179" s="32"/>
      <c r="BB179" s="53"/>
      <c r="BC179" s="21" t="str">
        <f>IFERROR(VLOOKUP(March[[#This Row],[Drug Name8]],'Data Options'!$R$1:$S$100,2,FALSE), " ")</f>
        <v xml:space="preserve"> </v>
      </c>
      <c r="BD179" s="32"/>
      <c r="BE179" s="32"/>
      <c r="BF179" s="53"/>
      <c r="BG179" s="21" t="str">
        <f>IFERROR(VLOOKUP(March[[#This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21" t="str">
        <f>IFERROR(VLOOKUP(March[[#This Row],[Drug Name]],'Data Options'!$R$1:$S$100,2,FALSE), " ")</f>
        <v xml:space="preserve"> </v>
      </c>
      <c r="R180" s="32"/>
      <c r="S180" s="32"/>
      <c r="T180" s="53"/>
      <c r="U180" s="21" t="str">
        <f>IFERROR(VLOOKUP(March[[#This Row],[Drug Name2]],'Data Options'!$R$1:$S$100,2,FALSE), " ")</f>
        <v xml:space="preserve"> </v>
      </c>
      <c r="V180" s="32"/>
      <c r="W180" s="32"/>
      <c r="X180" s="53"/>
      <c r="Y180" s="21" t="str">
        <f>IFERROR(VLOOKUP(March[[#This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21" t="str">
        <f>IFERROR(VLOOKUP(March[[#This Row],[Drug Name4]],'Data Options'!$R$1:$S$100,2,FALSE), " ")</f>
        <v xml:space="preserve"> </v>
      </c>
      <c r="AI180" s="32"/>
      <c r="AJ180" s="32"/>
      <c r="AK180" s="53"/>
      <c r="AL180" s="21" t="str">
        <f>IFERROR(VLOOKUP(March[[#This Row],[Drug Name5]],'Data Options'!$R$1:$S$100,2,FALSE), " ")</f>
        <v xml:space="preserve"> </v>
      </c>
      <c r="AM180" s="32"/>
      <c r="AN180" s="32"/>
      <c r="AO180" s="53"/>
      <c r="AP180" s="21" t="str">
        <f>IFERROR(VLOOKUP(March[[#This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21" t="str">
        <f>IFERROR(VLOOKUP(March[[#This Row],[Drug Name7]],'Data Options'!$R$1:$S$100,2,FALSE), " ")</f>
        <v xml:space="preserve"> </v>
      </c>
      <c r="AZ180" s="32"/>
      <c r="BA180" s="32"/>
      <c r="BB180" s="53"/>
      <c r="BC180" s="21" t="str">
        <f>IFERROR(VLOOKUP(March[[#This Row],[Drug Name8]],'Data Options'!$R$1:$S$100,2,FALSE), " ")</f>
        <v xml:space="preserve"> </v>
      </c>
      <c r="BD180" s="32"/>
      <c r="BE180" s="32"/>
      <c r="BF180" s="53"/>
      <c r="BG180" s="21" t="str">
        <f>IFERROR(VLOOKUP(March[[#This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21" t="str">
        <f>IFERROR(VLOOKUP(March[[#This Row],[Drug Name]],'Data Options'!$R$1:$S$100,2,FALSE), " ")</f>
        <v xml:space="preserve"> </v>
      </c>
      <c r="R181" s="32"/>
      <c r="S181" s="32"/>
      <c r="T181" s="53"/>
      <c r="U181" s="21" t="str">
        <f>IFERROR(VLOOKUP(March[[#This Row],[Drug Name2]],'Data Options'!$R$1:$S$100,2,FALSE), " ")</f>
        <v xml:space="preserve"> </v>
      </c>
      <c r="V181" s="32"/>
      <c r="W181" s="32"/>
      <c r="X181" s="53"/>
      <c r="Y181" s="21" t="str">
        <f>IFERROR(VLOOKUP(March[[#This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21" t="str">
        <f>IFERROR(VLOOKUP(March[[#This Row],[Drug Name4]],'Data Options'!$R$1:$S$100,2,FALSE), " ")</f>
        <v xml:space="preserve"> </v>
      </c>
      <c r="AI181" s="32"/>
      <c r="AJ181" s="32"/>
      <c r="AK181" s="53"/>
      <c r="AL181" s="21" t="str">
        <f>IFERROR(VLOOKUP(March[[#This Row],[Drug Name5]],'Data Options'!$R$1:$S$100,2,FALSE), " ")</f>
        <v xml:space="preserve"> </v>
      </c>
      <c r="AM181" s="32"/>
      <c r="AN181" s="32"/>
      <c r="AO181" s="53"/>
      <c r="AP181" s="21" t="str">
        <f>IFERROR(VLOOKUP(March[[#This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21" t="str">
        <f>IFERROR(VLOOKUP(March[[#This Row],[Drug Name7]],'Data Options'!$R$1:$S$100,2,FALSE), " ")</f>
        <v xml:space="preserve"> </v>
      </c>
      <c r="AZ181" s="32"/>
      <c r="BA181" s="32"/>
      <c r="BB181" s="53"/>
      <c r="BC181" s="21" t="str">
        <f>IFERROR(VLOOKUP(March[[#This Row],[Drug Name8]],'Data Options'!$R$1:$S$100,2,FALSE), " ")</f>
        <v xml:space="preserve"> </v>
      </c>
      <c r="BD181" s="32"/>
      <c r="BE181" s="32"/>
      <c r="BF181" s="53"/>
      <c r="BG181" s="21" t="str">
        <f>IFERROR(VLOOKUP(March[[#This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21" t="str">
        <f>IFERROR(VLOOKUP(March[[#This Row],[Drug Name]],'Data Options'!$R$1:$S$100,2,FALSE), " ")</f>
        <v xml:space="preserve"> </v>
      </c>
      <c r="R182" s="32"/>
      <c r="S182" s="32"/>
      <c r="T182" s="53"/>
      <c r="U182" s="21" t="str">
        <f>IFERROR(VLOOKUP(March[[#This Row],[Drug Name2]],'Data Options'!$R$1:$S$100,2,FALSE), " ")</f>
        <v xml:space="preserve"> </v>
      </c>
      <c r="V182" s="32"/>
      <c r="W182" s="32"/>
      <c r="X182" s="53"/>
      <c r="Y182" s="21" t="str">
        <f>IFERROR(VLOOKUP(March[[#This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21" t="str">
        <f>IFERROR(VLOOKUP(March[[#This Row],[Drug Name4]],'Data Options'!$R$1:$S$100,2,FALSE), " ")</f>
        <v xml:space="preserve"> </v>
      </c>
      <c r="AI182" s="32"/>
      <c r="AJ182" s="32"/>
      <c r="AK182" s="53"/>
      <c r="AL182" s="21" t="str">
        <f>IFERROR(VLOOKUP(March[[#This Row],[Drug Name5]],'Data Options'!$R$1:$S$100,2,FALSE), " ")</f>
        <v xml:space="preserve"> </v>
      </c>
      <c r="AM182" s="32"/>
      <c r="AN182" s="32"/>
      <c r="AO182" s="53"/>
      <c r="AP182" s="21" t="str">
        <f>IFERROR(VLOOKUP(March[[#This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21" t="str">
        <f>IFERROR(VLOOKUP(March[[#This Row],[Drug Name7]],'Data Options'!$R$1:$S$100,2,FALSE), " ")</f>
        <v xml:space="preserve"> </v>
      </c>
      <c r="AZ182" s="32"/>
      <c r="BA182" s="32"/>
      <c r="BB182" s="53"/>
      <c r="BC182" s="21" t="str">
        <f>IFERROR(VLOOKUP(March[[#This Row],[Drug Name8]],'Data Options'!$R$1:$S$100,2,FALSE), " ")</f>
        <v xml:space="preserve"> </v>
      </c>
      <c r="BD182" s="32"/>
      <c r="BE182" s="32"/>
      <c r="BF182" s="53"/>
      <c r="BG182" s="21" t="str">
        <f>IFERROR(VLOOKUP(March[[#This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21" t="str">
        <f>IFERROR(VLOOKUP(March[[#This Row],[Drug Name]],'Data Options'!$R$1:$S$100,2,FALSE), " ")</f>
        <v xml:space="preserve"> </v>
      </c>
      <c r="R183" s="32"/>
      <c r="S183" s="32"/>
      <c r="T183" s="53"/>
      <c r="U183" s="21" t="str">
        <f>IFERROR(VLOOKUP(March[[#This Row],[Drug Name2]],'Data Options'!$R$1:$S$100,2,FALSE), " ")</f>
        <v xml:space="preserve"> </v>
      </c>
      <c r="V183" s="32"/>
      <c r="W183" s="32"/>
      <c r="X183" s="53"/>
      <c r="Y183" s="21" t="str">
        <f>IFERROR(VLOOKUP(March[[#This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21" t="str">
        <f>IFERROR(VLOOKUP(March[[#This Row],[Drug Name4]],'Data Options'!$R$1:$S$100,2,FALSE), " ")</f>
        <v xml:space="preserve"> </v>
      </c>
      <c r="AI183" s="32"/>
      <c r="AJ183" s="32"/>
      <c r="AK183" s="53"/>
      <c r="AL183" s="21" t="str">
        <f>IFERROR(VLOOKUP(March[[#This Row],[Drug Name5]],'Data Options'!$R$1:$S$100,2,FALSE), " ")</f>
        <v xml:space="preserve"> </v>
      </c>
      <c r="AM183" s="32"/>
      <c r="AN183" s="32"/>
      <c r="AO183" s="53"/>
      <c r="AP183" s="21" t="str">
        <f>IFERROR(VLOOKUP(March[[#This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21" t="str">
        <f>IFERROR(VLOOKUP(March[[#This Row],[Drug Name7]],'Data Options'!$R$1:$S$100,2,FALSE), " ")</f>
        <v xml:space="preserve"> </v>
      </c>
      <c r="AZ183" s="32"/>
      <c r="BA183" s="32"/>
      <c r="BB183" s="53"/>
      <c r="BC183" s="21" t="str">
        <f>IFERROR(VLOOKUP(March[[#This Row],[Drug Name8]],'Data Options'!$R$1:$S$100,2,FALSE), " ")</f>
        <v xml:space="preserve"> </v>
      </c>
      <c r="BD183" s="32"/>
      <c r="BE183" s="32"/>
      <c r="BF183" s="53"/>
      <c r="BG183" s="21" t="str">
        <f>IFERROR(VLOOKUP(March[[#This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21" t="str">
        <f>IFERROR(VLOOKUP(March[[#This Row],[Drug Name]],'Data Options'!$R$1:$S$100,2,FALSE), " ")</f>
        <v xml:space="preserve"> </v>
      </c>
      <c r="R184" s="32"/>
      <c r="S184" s="32"/>
      <c r="T184" s="53"/>
      <c r="U184" s="21" t="str">
        <f>IFERROR(VLOOKUP(March[[#This Row],[Drug Name2]],'Data Options'!$R$1:$S$100,2,FALSE), " ")</f>
        <v xml:space="preserve"> </v>
      </c>
      <c r="V184" s="32"/>
      <c r="W184" s="32"/>
      <c r="X184" s="53"/>
      <c r="Y184" s="21" t="str">
        <f>IFERROR(VLOOKUP(March[[#This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21" t="str">
        <f>IFERROR(VLOOKUP(March[[#This Row],[Drug Name4]],'Data Options'!$R$1:$S$100,2,FALSE), " ")</f>
        <v xml:space="preserve"> </v>
      </c>
      <c r="AI184" s="32"/>
      <c r="AJ184" s="32"/>
      <c r="AK184" s="53"/>
      <c r="AL184" s="21" t="str">
        <f>IFERROR(VLOOKUP(March[[#This Row],[Drug Name5]],'Data Options'!$R$1:$S$100,2,FALSE), " ")</f>
        <v xml:space="preserve"> </v>
      </c>
      <c r="AM184" s="32"/>
      <c r="AN184" s="32"/>
      <c r="AO184" s="53"/>
      <c r="AP184" s="21" t="str">
        <f>IFERROR(VLOOKUP(March[[#This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21" t="str">
        <f>IFERROR(VLOOKUP(March[[#This Row],[Drug Name7]],'Data Options'!$R$1:$S$100,2,FALSE), " ")</f>
        <v xml:space="preserve"> </v>
      </c>
      <c r="AZ184" s="32"/>
      <c r="BA184" s="32"/>
      <c r="BB184" s="53"/>
      <c r="BC184" s="21" t="str">
        <f>IFERROR(VLOOKUP(March[[#This Row],[Drug Name8]],'Data Options'!$R$1:$S$100,2,FALSE), " ")</f>
        <v xml:space="preserve"> </v>
      </c>
      <c r="BD184" s="32"/>
      <c r="BE184" s="32"/>
      <c r="BF184" s="53"/>
      <c r="BG184" s="21" t="str">
        <f>IFERROR(VLOOKUP(March[[#This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21" t="str">
        <f>IFERROR(VLOOKUP(March[[#This Row],[Drug Name]],'Data Options'!$R$1:$S$100,2,FALSE), " ")</f>
        <v xml:space="preserve"> </v>
      </c>
      <c r="R185" s="32"/>
      <c r="S185" s="32"/>
      <c r="T185" s="53"/>
      <c r="U185" s="21" t="str">
        <f>IFERROR(VLOOKUP(March[[#This Row],[Drug Name2]],'Data Options'!$R$1:$S$100,2,FALSE), " ")</f>
        <v xml:space="preserve"> </v>
      </c>
      <c r="V185" s="32"/>
      <c r="W185" s="32"/>
      <c r="X185" s="53"/>
      <c r="Y185" s="21" t="str">
        <f>IFERROR(VLOOKUP(March[[#This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21" t="str">
        <f>IFERROR(VLOOKUP(March[[#This Row],[Drug Name4]],'Data Options'!$R$1:$S$100,2,FALSE), " ")</f>
        <v xml:space="preserve"> </v>
      </c>
      <c r="AI185" s="32"/>
      <c r="AJ185" s="32"/>
      <c r="AK185" s="53"/>
      <c r="AL185" s="21" t="str">
        <f>IFERROR(VLOOKUP(March[[#This Row],[Drug Name5]],'Data Options'!$R$1:$S$100,2,FALSE), " ")</f>
        <v xml:space="preserve"> </v>
      </c>
      <c r="AM185" s="32"/>
      <c r="AN185" s="32"/>
      <c r="AO185" s="53"/>
      <c r="AP185" s="21" t="str">
        <f>IFERROR(VLOOKUP(March[[#This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21" t="str">
        <f>IFERROR(VLOOKUP(March[[#This Row],[Drug Name7]],'Data Options'!$R$1:$S$100,2,FALSE), " ")</f>
        <v xml:space="preserve"> </v>
      </c>
      <c r="AZ185" s="32"/>
      <c r="BA185" s="32"/>
      <c r="BB185" s="53"/>
      <c r="BC185" s="21" t="str">
        <f>IFERROR(VLOOKUP(March[[#This Row],[Drug Name8]],'Data Options'!$R$1:$S$100,2,FALSE), " ")</f>
        <v xml:space="preserve"> </v>
      </c>
      <c r="BD185" s="32"/>
      <c r="BE185" s="32"/>
      <c r="BF185" s="53"/>
      <c r="BG185" s="21" t="str">
        <f>IFERROR(VLOOKUP(March[[#This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21" t="str">
        <f>IFERROR(VLOOKUP(March[[#This Row],[Drug Name]],'Data Options'!$R$1:$S$100,2,FALSE), " ")</f>
        <v xml:space="preserve"> </v>
      </c>
      <c r="R186" s="32"/>
      <c r="S186" s="32"/>
      <c r="T186" s="53"/>
      <c r="U186" s="21" t="str">
        <f>IFERROR(VLOOKUP(March[[#This Row],[Drug Name2]],'Data Options'!$R$1:$S$100,2,FALSE), " ")</f>
        <v xml:space="preserve"> </v>
      </c>
      <c r="V186" s="32"/>
      <c r="W186" s="32"/>
      <c r="X186" s="53"/>
      <c r="Y186" s="21" t="str">
        <f>IFERROR(VLOOKUP(March[[#This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21" t="str">
        <f>IFERROR(VLOOKUP(March[[#This Row],[Drug Name4]],'Data Options'!$R$1:$S$100,2,FALSE), " ")</f>
        <v xml:space="preserve"> </v>
      </c>
      <c r="AI186" s="32"/>
      <c r="AJ186" s="32"/>
      <c r="AK186" s="53"/>
      <c r="AL186" s="21" t="str">
        <f>IFERROR(VLOOKUP(March[[#This Row],[Drug Name5]],'Data Options'!$R$1:$S$100,2,FALSE), " ")</f>
        <v xml:space="preserve"> </v>
      </c>
      <c r="AM186" s="32"/>
      <c r="AN186" s="32"/>
      <c r="AO186" s="53"/>
      <c r="AP186" s="21" t="str">
        <f>IFERROR(VLOOKUP(March[[#This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21" t="str">
        <f>IFERROR(VLOOKUP(March[[#This Row],[Drug Name7]],'Data Options'!$R$1:$S$100,2,FALSE), " ")</f>
        <v xml:space="preserve"> </v>
      </c>
      <c r="AZ186" s="32"/>
      <c r="BA186" s="32"/>
      <c r="BB186" s="53"/>
      <c r="BC186" s="21" t="str">
        <f>IFERROR(VLOOKUP(March[[#This Row],[Drug Name8]],'Data Options'!$R$1:$S$100,2,FALSE), " ")</f>
        <v xml:space="preserve"> </v>
      </c>
      <c r="BD186" s="32"/>
      <c r="BE186" s="32"/>
      <c r="BF186" s="53"/>
      <c r="BG186" s="21" t="str">
        <f>IFERROR(VLOOKUP(March[[#This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21" t="str">
        <f>IFERROR(VLOOKUP(March[[#This Row],[Drug Name]],'Data Options'!$R$1:$S$100,2,FALSE), " ")</f>
        <v xml:space="preserve"> </v>
      </c>
      <c r="R187" s="32"/>
      <c r="S187" s="32"/>
      <c r="T187" s="53"/>
      <c r="U187" s="21" t="str">
        <f>IFERROR(VLOOKUP(March[[#This Row],[Drug Name2]],'Data Options'!$R$1:$S$100,2,FALSE), " ")</f>
        <v xml:space="preserve"> </v>
      </c>
      <c r="V187" s="32"/>
      <c r="W187" s="32"/>
      <c r="X187" s="53"/>
      <c r="Y187" s="21" t="str">
        <f>IFERROR(VLOOKUP(March[[#This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21" t="str">
        <f>IFERROR(VLOOKUP(March[[#This Row],[Drug Name4]],'Data Options'!$R$1:$S$100,2,FALSE), " ")</f>
        <v xml:space="preserve"> </v>
      </c>
      <c r="AI187" s="32"/>
      <c r="AJ187" s="32"/>
      <c r="AK187" s="53"/>
      <c r="AL187" s="21" t="str">
        <f>IFERROR(VLOOKUP(March[[#This Row],[Drug Name5]],'Data Options'!$R$1:$S$100,2,FALSE), " ")</f>
        <v xml:space="preserve"> </v>
      </c>
      <c r="AM187" s="32"/>
      <c r="AN187" s="32"/>
      <c r="AO187" s="53"/>
      <c r="AP187" s="21" t="str">
        <f>IFERROR(VLOOKUP(March[[#This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21" t="str">
        <f>IFERROR(VLOOKUP(March[[#This Row],[Drug Name7]],'Data Options'!$R$1:$S$100,2,FALSE), " ")</f>
        <v xml:space="preserve"> </v>
      </c>
      <c r="AZ187" s="32"/>
      <c r="BA187" s="32"/>
      <c r="BB187" s="53"/>
      <c r="BC187" s="21" t="str">
        <f>IFERROR(VLOOKUP(March[[#This Row],[Drug Name8]],'Data Options'!$R$1:$S$100,2,FALSE), " ")</f>
        <v xml:space="preserve"> </v>
      </c>
      <c r="BD187" s="32"/>
      <c r="BE187" s="32"/>
      <c r="BF187" s="53"/>
      <c r="BG187" s="21" t="str">
        <f>IFERROR(VLOOKUP(March[[#This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21" t="str">
        <f>IFERROR(VLOOKUP(March[[#This Row],[Drug Name]],'Data Options'!$R$1:$S$100,2,FALSE), " ")</f>
        <v xml:space="preserve"> </v>
      </c>
      <c r="R188" s="32"/>
      <c r="S188" s="32"/>
      <c r="T188" s="53"/>
      <c r="U188" s="21" t="str">
        <f>IFERROR(VLOOKUP(March[[#This Row],[Drug Name2]],'Data Options'!$R$1:$S$100,2,FALSE), " ")</f>
        <v xml:space="preserve"> </v>
      </c>
      <c r="V188" s="32"/>
      <c r="W188" s="32"/>
      <c r="X188" s="53"/>
      <c r="Y188" s="21" t="str">
        <f>IFERROR(VLOOKUP(March[[#This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21" t="str">
        <f>IFERROR(VLOOKUP(March[[#This Row],[Drug Name4]],'Data Options'!$R$1:$S$100,2,FALSE), " ")</f>
        <v xml:space="preserve"> </v>
      </c>
      <c r="AI188" s="32"/>
      <c r="AJ188" s="32"/>
      <c r="AK188" s="53"/>
      <c r="AL188" s="21" t="str">
        <f>IFERROR(VLOOKUP(March[[#This Row],[Drug Name5]],'Data Options'!$R$1:$S$100,2,FALSE), " ")</f>
        <v xml:space="preserve"> </v>
      </c>
      <c r="AM188" s="32"/>
      <c r="AN188" s="32"/>
      <c r="AO188" s="53"/>
      <c r="AP188" s="21" t="str">
        <f>IFERROR(VLOOKUP(March[[#This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21" t="str">
        <f>IFERROR(VLOOKUP(March[[#This Row],[Drug Name7]],'Data Options'!$R$1:$S$100,2,FALSE), " ")</f>
        <v xml:space="preserve"> </v>
      </c>
      <c r="AZ188" s="32"/>
      <c r="BA188" s="32"/>
      <c r="BB188" s="53"/>
      <c r="BC188" s="21" t="str">
        <f>IFERROR(VLOOKUP(March[[#This Row],[Drug Name8]],'Data Options'!$R$1:$S$100,2,FALSE), " ")</f>
        <v xml:space="preserve"> </v>
      </c>
      <c r="BD188" s="32"/>
      <c r="BE188" s="32"/>
      <c r="BF188" s="53"/>
      <c r="BG188" s="21" t="str">
        <f>IFERROR(VLOOKUP(March[[#This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21" t="str">
        <f>IFERROR(VLOOKUP(March[[#This Row],[Drug Name]],'Data Options'!$R$1:$S$100,2,FALSE), " ")</f>
        <v xml:space="preserve"> </v>
      </c>
      <c r="R189" s="32"/>
      <c r="S189" s="32"/>
      <c r="T189" s="53"/>
      <c r="U189" s="21" t="str">
        <f>IFERROR(VLOOKUP(March[[#This Row],[Drug Name2]],'Data Options'!$R$1:$S$100,2,FALSE), " ")</f>
        <v xml:space="preserve"> </v>
      </c>
      <c r="V189" s="32"/>
      <c r="W189" s="32"/>
      <c r="X189" s="53"/>
      <c r="Y189" s="21" t="str">
        <f>IFERROR(VLOOKUP(March[[#This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21" t="str">
        <f>IFERROR(VLOOKUP(March[[#This Row],[Drug Name4]],'Data Options'!$R$1:$S$100,2,FALSE), " ")</f>
        <v xml:space="preserve"> </v>
      </c>
      <c r="AI189" s="32"/>
      <c r="AJ189" s="32"/>
      <c r="AK189" s="53"/>
      <c r="AL189" s="21" t="str">
        <f>IFERROR(VLOOKUP(March[[#This Row],[Drug Name5]],'Data Options'!$R$1:$S$100,2,FALSE), " ")</f>
        <v xml:space="preserve"> </v>
      </c>
      <c r="AM189" s="32"/>
      <c r="AN189" s="32"/>
      <c r="AO189" s="53"/>
      <c r="AP189" s="21" t="str">
        <f>IFERROR(VLOOKUP(March[[#This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21" t="str">
        <f>IFERROR(VLOOKUP(March[[#This Row],[Drug Name7]],'Data Options'!$R$1:$S$100,2,FALSE), " ")</f>
        <v xml:space="preserve"> </v>
      </c>
      <c r="AZ189" s="32"/>
      <c r="BA189" s="32"/>
      <c r="BB189" s="53"/>
      <c r="BC189" s="21" t="str">
        <f>IFERROR(VLOOKUP(March[[#This Row],[Drug Name8]],'Data Options'!$R$1:$S$100,2,FALSE), " ")</f>
        <v xml:space="preserve"> </v>
      </c>
      <c r="BD189" s="32"/>
      <c r="BE189" s="32"/>
      <c r="BF189" s="53"/>
      <c r="BG189" s="21" t="str">
        <f>IFERROR(VLOOKUP(March[[#This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21" t="str">
        <f>IFERROR(VLOOKUP(March[[#This Row],[Drug Name]],'Data Options'!$R$1:$S$100,2,FALSE), " ")</f>
        <v xml:space="preserve"> </v>
      </c>
      <c r="R190" s="32"/>
      <c r="S190" s="32"/>
      <c r="T190" s="53"/>
      <c r="U190" s="21" t="str">
        <f>IFERROR(VLOOKUP(March[[#This Row],[Drug Name2]],'Data Options'!$R$1:$S$100,2,FALSE), " ")</f>
        <v xml:space="preserve"> </v>
      </c>
      <c r="V190" s="32"/>
      <c r="W190" s="32"/>
      <c r="X190" s="53"/>
      <c r="Y190" s="21" t="str">
        <f>IFERROR(VLOOKUP(March[[#This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21" t="str">
        <f>IFERROR(VLOOKUP(March[[#This Row],[Drug Name4]],'Data Options'!$R$1:$S$100,2,FALSE), " ")</f>
        <v xml:space="preserve"> </v>
      </c>
      <c r="AI190" s="32"/>
      <c r="AJ190" s="32"/>
      <c r="AK190" s="53"/>
      <c r="AL190" s="21" t="str">
        <f>IFERROR(VLOOKUP(March[[#This Row],[Drug Name5]],'Data Options'!$R$1:$S$100,2,FALSE), " ")</f>
        <v xml:space="preserve"> </v>
      </c>
      <c r="AM190" s="32"/>
      <c r="AN190" s="32"/>
      <c r="AO190" s="53"/>
      <c r="AP190" s="21" t="str">
        <f>IFERROR(VLOOKUP(March[[#This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21" t="str">
        <f>IFERROR(VLOOKUP(March[[#This Row],[Drug Name7]],'Data Options'!$R$1:$S$100,2,FALSE), " ")</f>
        <v xml:space="preserve"> </v>
      </c>
      <c r="AZ190" s="32"/>
      <c r="BA190" s="32"/>
      <c r="BB190" s="53"/>
      <c r="BC190" s="21" t="str">
        <f>IFERROR(VLOOKUP(March[[#This Row],[Drug Name8]],'Data Options'!$R$1:$S$100,2,FALSE), " ")</f>
        <v xml:space="preserve"> </v>
      </c>
      <c r="BD190" s="32"/>
      <c r="BE190" s="32"/>
      <c r="BF190" s="53"/>
      <c r="BG190" s="21" t="str">
        <f>IFERROR(VLOOKUP(March[[#This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21" t="str">
        <f>IFERROR(VLOOKUP(March[[#This Row],[Drug Name]],'Data Options'!$R$1:$S$100,2,FALSE), " ")</f>
        <v xml:space="preserve"> </v>
      </c>
      <c r="R191" s="32"/>
      <c r="S191" s="32"/>
      <c r="T191" s="53"/>
      <c r="U191" s="21" t="str">
        <f>IFERROR(VLOOKUP(March[[#This Row],[Drug Name2]],'Data Options'!$R$1:$S$100,2,FALSE), " ")</f>
        <v xml:space="preserve"> </v>
      </c>
      <c r="V191" s="32"/>
      <c r="W191" s="32"/>
      <c r="X191" s="53"/>
      <c r="Y191" s="21" t="str">
        <f>IFERROR(VLOOKUP(March[[#This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21" t="str">
        <f>IFERROR(VLOOKUP(March[[#This Row],[Drug Name4]],'Data Options'!$R$1:$S$100,2,FALSE), " ")</f>
        <v xml:space="preserve"> </v>
      </c>
      <c r="AI191" s="32"/>
      <c r="AJ191" s="32"/>
      <c r="AK191" s="53"/>
      <c r="AL191" s="21" t="str">
        <f>IFERROR(VLOOKUP(March[[#This Row],[Drug Name5]],'Data Options'!$R$1:$S$100,2,FALSE), " ")</f>
        <v xml:space="preserve"> </v>
      </c>
      <c r="AM191" s="32"/>
      <c r="AN191" s="32"/>
      <c r="AO191" s="53"/>
      <c r="AP191" s="21" t="str">
        <f>IFERROR(VLOOKUP(March[[#This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21" t="str">
        <f>IFERROR(VLOOKUP(March[[#This Row],[Drug Name7]],'Data Options'!$R$1:$S$100,2,FALSE), " ")</f>
        <v xml:space="preserve"> </v>
      </c>
      <c r="AZ191" s="32"/>
      <c r="BA191" s="32"/>
      <c r="BB191" s="53"/>
      <c r="BC191" s="21" t="str">
        <f>IFERROR(VLOOKUP(March[[#This Row],[Drug Name8]],'Data Options'!$R$1:$S$100,2,FALSE), " ")</f>
        <v xml:space="preserve"> </v>
      </c>
      <c r="BD191" s="32"/>
      <c r="BE191" s="32"/>
      <c r="BF191" s="53"/>
      <c r="BG191" s="21" t="str">
        <f>IFERROR(VLOOKUP(March[[#This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21" t="str">
        <f>IFERROR(VLOOKUP(March[[#This Row],[Drug Name]],'Data Options'!$R$1:$S$100,2,FALSE), " ")</f>
        <v xml:space="preserve"> </v>
      </c>
      <c r="R192" s="32"/>
      <c r="S192" s="32"/>
      <c r="T192" s="53"/>
      <c r="U192" s="21" t="str">
        <f>IFERROR(VLOOKUP(March[[#This Row],[Drug Name2]],'Data Options'!$R$1:$S$100,2,FALSE), " ")</f>
        <v xml:space="preserve"> </v>
      </c>
      <c r="V192" s="32"/>
      <c r="W192" s="32"/>
      <c r="X192" s="53"/>
      <c r="Y192" s="21" t="str">
        <f>IFERROR(VLOOKUP(March[[#This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21" t="str">
        <f>IFERROR(VLOOKUP(March[[#This Row],[Drug Name4]],'Data Options'!$R$1:$S$100,2,FALSE), " ")</f>
        <v xml:space="preserve"> </v>
      </c>
      <c r="AI192" s="32"/>
      <c r="AJ192" s="32"/>
      <c r="AK192" s="53"/>
      <c r="AL192" s="21" t="str">
        <f>IFERROR(VLOOKUP(March[[#This Row],[Drug Name5]],'Data Options'!$R$1:$S$100,2,FALSE), " ")</f>
        <v xml:space="preserve"> </v>
      </c>
      <c r="AM192" s="32"/>
      <c r="AN192" s="32"/>
      <c r="AO192" s="53"/>
      <c r="AP192" s="21" t="str">
        <f>IFERROR(VLOOKUP(March[[#This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21" t="str">
        <f>IFERROR(VLOOKUP(March[[#This Row],[Drug Name7]],'Data Options'!$R$1:$S$100,2,FALSE), " ")</f>
        <v xml:space="preserve"> </v>
      </c>
      <c r="AZ192" s="32"/>
      <c r="BA192" s="32"/>
      <c r="BB192" s="53"/>
      <c r="BC192" s="21" t="str">
        <f>IFERROR(VLOOKUP(March[[#This Row],[Drug Name8]],'Data Options'!$R$1:$S$100,2,FALSE), " ")</f>
        <v xml:space="preserve"> </v>
      </c>
      <c r="BD192" s="32"/>
      <c r="BE192" s="32"/>
      <c r="BF192" s="53"/>
      <c r="BG192" s="21" t="str">
        <f>IFERROR(VLOOKUP(March[[#This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21" t="str">
        <f>IFERROR(VLOOKUP(March[[#This Row],[Drug Name]],'Data Options'!$R$1:$S$100,2,FALSE), " ")</f>
        <v xml:space="preserve"> </v>
      </c>
      <c r="R193" s="32"/>
      <c r="S193" s="32"/>
      <c r="T193" s="53"/>
      <c r="U193" s="21" t="str">
        <f>IFERROR(VLOOKUP(March[[#This Row],[Drug Name2]],'Data Options'!$R$1:$S$100,2,FALSE), " ")</f>
        <v xml:space="preserve"> </v>
      </c>
      <c r="V193" s="32"/>
      <c r="W193" s="32"/>
      <c r="X193" s="53"/>
      <c r="Y193" s="21" t="str">
        <f>IFERROR(VLOOKUP(March[[#This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21" t="str">
        <f>IFERROR(VLOOKUP(March[[#This Row],[Drug Name4]],'Data Options'!$R$1:$S$100,2,FALSE), " ")</f>
        <v xml:space="preserve"> </v>
      </c>
      <c r="AI193" s="32"/>
      <c r="AJ193" s="32"/>
      <c r="AK193" s="53"/>
      <c r="AL193" s="21" t="str">
        <f>IFERROR(VLOOKUP(March[[#This Row],[Drug Name5]],'Data Options'!$R$1:$S$100,2,FALSE), " ")</f>
        <v xml:space="preserve"> </v>
      </c>
      <c r="AM193" s="32"/>
      <c r="AN193" s="32"/>
      <c r="AO193" s="53"/>
      <c r="AP193" s="21" t="str">
        <f>IFERROR(VLOOKUP(March[[#This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21" t="str">
        <f>IFERROR(VLOOKUP(March[[#This Row],[Drug Name7]],'Data Options'!$R$1:$S$100,2,FALSE), " ")</f>
        <v xml:space="preserve"> </v>
      </c>
      <c r="AZ193" s="32"/>
      <c r="BA193" s="32"/>
      <c r="BB193" s="53"/>
      <c r="BC193" s="21" t="str">
        <f>IFERROR(VLOOKUP(March[[#This Row],[Drug Name8]],'Data Options'!$R$1:$S$100,2,FALSE), " ")</f>
        <v xml:space="preserve"> </v>
      </c>
      <c r="BD193" s="32"/>
      <c r="BE193" s="32"/>
      <c r="BF193" s="53"/>
      <c r="BG193" s="21" t="str">
        <f>IFERROR(VLOOKUP(March[[#This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21" t="str">
        <f>IFERROR(VLOOKUP(March[[#This Row],[Drug Name]],'Data Options'!$R$1:$S$100,2,FALSE), " ")</f>
        <v xml:space="preserve"> </v>
      </c>
      <c r="R194" s="32"/>
      <c r="S194" s="32"/>
      <c r="T194" s="53"/>
      <c r="U194" s="21" t="str">
        <f>IFERROR(VLOOKUP(March[[#This Row],[Drug Name2]],'Data Options'!$R$1:$S$100,2,FALSE), " ")</f>
        <v xml:space="preserve"> </v>
      </c>
      <c r="V194" s="32"/>
      <c r="W194" s="32"/>
      <c r="X194" s="53"/>
      <c r="Y194" s="21" t="str">
        <f>IFERROR(VLOOKUP(March[[#This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21" t="str">
        <f>IFERROR(VLOOKUP(March[[#This Row],[Drug Name4]],'Data Options'!$R$1:$S$100,2,FALSE), " ")</f>
        <v xml:space="preserve"> </v>
      </c>
      <c r="AI194" s="32"/>
      <c r="AJ194" s="32"/>
      <c r="AK194" s="53"/>
      <c r="AL194" s="21" t="str">
        <f>IFERROR(VLOOKUP(March[[#This Row],[Drug Name5]],'Data Options'!$R$1:$S$100,2,FALSE), " ")</f>
        <v xml:space="preserve"> </v>
      </c>
      <c r="AM194" s="32"/>
      <c r="AN194" s="32"/>
      <c r="AO194" s="53"/>
      <c r="AP194" s="21" t="str">
        <f>IFERROR(VLOOKUP(March[[#This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21" t="str">
        <f>IFERROR(VLOOKUP(March[[#This Row],[Drug Name7]],'Data Options'!$R$1:$S$100,2,FALSE), " ")</f>
        <v xml:space="preserve"> </v>
      </c>
      <c r="AZ194" s="32"/>
      <c r="BA194" s="32"/>
      <c r="BB194" s="53"/>
      <c r="BC194" s="21" t="str">
        <f>IFERROR(VLOOKUP(March[[#This Row],[Drug Name8]],'Data Options'!$R$1:$S$100,2,FALSE), " ")</f>
        <v xml:space="preserve"> </v>
      </c>
      <c r="BD194" s="32"/>
      <c r="BE194" s="32"/>
      <c r="BF194" s="53"/>
      <c r="BG194" s="21" t="str">
        <f>IFERROR(VLOOKUP(March[[#This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21" t="str">
        <f>IFERROR(VLOOKUP(March[[#This Row],[Drug Name]],'Data Options'!$R$1:$S$100,2,FALSE), " ")</f>
        <v xml:space="preserve"> </v>
      </c>
      <c r="R195" s="32"/>
      <c r="S195" s="32"/>
      <c r="T195" s="53"/>
      <c r="U195" s="21" t="str">
        <f>IFERROR(VLOOKUP(March[[#This Row],[Drug Name2]],'Data Options'!$R$1:$S$100,2,FALSE), " ")</f>
        <v xml:space="preserve"> </v>
      </c>
      <c r="V195" s="32"/>
      <c r="W195" s="32"/>
      <c r="X195" s="53"/>
      <c r="Y195" s="21" t="str">
        <f>IFERROR(VLOOKUP(March[[#This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21" t="str">
        <f>IFERROR(VLOOKUP(March[[#This Row],[Drug Name4]],'Data Options'!$R$1:$S$100,2,FALSE), " ")</f>
        <v xml:space="preserve"> </v>
      </c>
      <c r="AI195" s="32"/>
      <c r="AJ195" s="32"/>
      <c r="AK195" s="53"/>
      <c r="AL195" s="21" t="str">
        <f>IFERROR(VLOOKUP(March[[#This Row],[Drug Name5]],'Data Options'!$R$1:$S$100,2,FALSE), " ")</f>
        <v xml:space="preserve"> </v>
      </c>
      <c r="AM195" s="32"/>
      <c r="AN195" s="32"/>
      <c r="AO195" s="53"/>
      <c r="AP195" s="21" t="str">
        <f>IFERROR(VLOOKUP(March[[#This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21" t="str">
        <f>IFERROR(VLOOKUP(March[[#This Row],[Drug Name7]],'Data Options'!$R$1:$S$100,2,FALSE), " ")</f>
        <v xml:space="preserve"> </v>
      </c>
      <c r="AZ195" s="32"/>
      <c r="BA195" s="32"/>
      <c r="BB195" s="53"/>
      <c r="BC195" s="21" t="str">
        <f>IFERROR(VLOOKUP(March[[#This Row],[Drug Name8]],'Data Options'!$R$1:$S$100,2,FALSE), " ")</f>
        <v xml:space="preserve"> </v>
      </c>
      <c r="BD195" s="32"/>
      <c r="BE195" s="32"/>
      <c r="BF195" s="53"/>
      <c r="BG195" s="21" t="str">
        <f>IFERROR(VLOOKUP(March[[#This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21" t="str">
        <f>IFERROR(VLOOKUP(March[[#This Row],[Drug Name]],'Data Options'!$R$1:$S$100,2,FALSE), " ")</f>
        <v xml:space="preserve"> </v>
      </c>
      <c r="R196" s="32"/>
      <c r="S196" s="32"/>
      <c r="T196" s="53"/>
      <c r="U196" s="21" t="str">
        <f>IFERROR(VLOOKUP(March[[#This Row],[Drug Name2]],'Data Options'!$R$1:$S$100,2,FALSE), " ")</f>
        <v xml:space="preserve"> </v>
      </c>
      <c r="V196" s="32"/>
      <c r="W196" s="32"/>
      <c r="X196" s="53"/>
      <c r="Y196" s="21" t="str">
        <f>IFERROR(VLOOKUP(March[[#This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21" t="str">
        <f>IFERROR(VLOOKUP(March[[#This Row],[Drug Name4]],'Data Options'!$R$1:$S$100,2,FALSE), " ")</f>
        <v xml:space="preserve"> </v>
      </c>
      <c r="AI196" s="32"/>
      <c r="AJ196" s="32"/>
      <c r="AK196" s="53"/>
      <c r="AL196" s="21" t="str">
        <f>IFERROR(VLOOKUP(March[[#This Row],[Drug Name5]],'Data Options'!$R$1:$S$100,2,FALSE), " ")</f>
        <v xml:space="preserve"> </v>
      </c>
      <c r="AM196" s="32"/>
      <c r="AN196" s="32"/>
      <c r="AO196" s="53"/>
      <c r="AP196" s="21" t="str">
        <f>IFERROR(VLOOKUP(March[[#This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21" t="str">
        <f>IFERROR(VLOOKUP(March[[#This Row],[Drug Name7]],'Data Options'!$R$1:$S$100,2,FALSE), " ")</f>
        <v xml:space="preserve"> </v>
      </c>
      <c r="AZ196" s="32"/>
      <c r="BA196" s="32"/>
      <c r="BB196" s="53"/>
      <c r="BC196" s="21" t="str">
        <f>IFERROR(VLOOKUP(March[[#This Row],[Drug Name8]],'Data Options'!$R$1:$S$100,2,FALSE), " ")</f>
        <v xml:space="preserve"> </v>
      </c>
      <c r="BD196" s="32"/>
      <c r="BE196" s="32"/>
      <c r="BF196" s="53"/>
      <c r="BG196" s="21" t="str">
        <f>IFERROR(VLOOKUP(March[[#This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21" t="str">
        <f>IFERROR(VLOOKUP(March[[#This Row],[Drug Name]],'Data Options'!$R$1:$S$100,2,FALSE), " ")</f>
        <v xml:space="preserve"> </v>
      </c>
      <c r="R197" s="32"/>
      <c r="S197" s="32"/>
      <c r="T197" s="53"/>
      <c r="U197" s="21" t="str">
        <f>IFERROR(VLOOKUP(March[[#This Row],[Drug Name2]],'Data Options'!$R$1:$S$100,2,FALSE), " ")</f>
        <v xml:space="preserve"> </v>
      </c>
      <c r="V197" s="32"/>
      <c r="W197" s="32"/>
      <c r="X197" s="53"/>
      <c r="Y197" s="21" t="str">
        <f>IFERROR(VLOOKUP(March[[#This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21" t="str">
        <f>IFERROR(VLOOKUP(March[[#This Row],[Drug Name4]],'Data Options'!$R$1:$S$100,2,FALSE), " ")</f>
        <v xml:space="preserve"> </v>
      </c>
      <c r="AI197" s="32"/>
      <c r="AJ197" s="32"/>
      <c r="AK197" s="53"/>
      <c r="AL197" s="21" t="str">
        <f>IFERROR(VLOOKUP(March[[#This Row],[Drug Name5]],'Data Options'!$R$1:$S$100,2,FALSE), " ")</f>
        <v xml:space="preserve"> </v>
      </c>
      <c r="AM197" s="32"/>
      <c r="AN197" s="32"/>
      <c r="AO197" s="53"/>
      <c r="AP197" s="21" t="str">
        <f>IFERROR(VLOOKUP(March[[#This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21" t="str">
        <f>IFERROR(VLOOKUP(March[[#This Row],[Drug Name7]],'Data Options'!$R$1:$S$100,2,FALSE), " ")</f>
        <v xml:space="preserve"> </v>
      </c>
      <c r="AZ197" s="32"/>
      <c r="BA197" s="32"/>
      <c r="BB197" s="53"/>
      <c r="BC197" s="21" t="str">
        <f>IFERROR(VLOOKUP(March[[#This Row],[Drug Name8]],'Data Options'!$R$1:$S$100,2,FALSE), " ")</f>
        <v xml:space="preserve"> </v>
      </c>
      <c r="BD197" s="32"/>
      <c r="BE197" s="32"/>
      <c r="BF197" s="53"/>
      <c r="BG197" s="21" t="str">
        <f>IFERROR(VLOOKUP(March[[#This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21" t="str">
        <f>IFERROR(VLOOKUP(March[[#This Row],[Drug Name]],'Data Options'!$R$1:$S$100,2,FALSE), " ")</f>
        <v xml:space="preserve"> </v>
      </c>
      <c r="R198" s="32"/>
      <c r="S198" s="32"/>
      <c r="T198" s="53"/>
      <c r="U198" s="21" t="str">
        <f>IFERROR(VLOOKUP(March[[#This Row],[Drug Name2]],'Data Options'!$R$1:$S$100,2,FALSE), " ")</f>
        <v xml:space="preserve"> </v>
      </c>
      <c r="V198" s="32"/>
      <c r="W198" s="32"/>
      <c r="X198" s="53"/>
      <c r="Y198" s="21" t="str">
        <f>IFERROR(VLOOKUP(March[[#This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21" t="str">
        <f>IFERROR(VLOOKUP(March[[#This Row],[Drug Name4]],'Data Options'!$R$1:$S$100,2,FALSE), " ")</f>
        <v xml:space="preserve"> </v>
      </c>
      <c r="AI198" s="32"/>
      <c r="AJ198" s="32"/>
      <c r="AK198" s="53"/>
      <c r="AL198" s="21" t="str">
        <f>IFERROR(VLOOKUP(March[[#This Row],[Drug Name5]],'Data Options'!$R$1:$S$100,2,FALSE), " ")</f>
        <v xml:space="preserve"> </v>
      </c>
      <c r="AM198" s="32"/>
      <c r="AN198" s="32"/>
      <c r="AO198" s="53"/>
      <c r="AP198" s="21" t="str">
        <f>IFERROR(VLOOKUP(March[[#This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21" t="str">
        <f>IFERROR(VLOOKUP(March[[#This Row],[Drug Name7]],'Data Options'!$R$1:$S$100,2,FALSE), " ")</f>
        <v xml:space="preserve"> </v>
      </c>
      <c r="AZ198" s="32"/>
      <c r="BA198" s="32"/>
      <c r="BB198" s="53"/>
      <c r="BC198" s="21" t="str">
        <f>IFERROR(VLOOKUP(March[[#This Row],[Drug Name8]],'Data Options'!$R$1:$S$100,2,FALSE), " ")</f>
        <v xml:space="preserve"> </v>
      </c>
      <c r="BD198" s="32"/>
      <c r="BE198" s="32"/>
      <c r="BF198" s="53"/>
      <c r="BG198" s="21" t="str">
        <f>IFERROR(VLOOKUP(March[[#This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21" t="str">
        <f>IFERROR(VLOOKUP(March[[#This Row],[Drug Name]],'Data Options'!$R$1:$S$100,2,FALSE), " ")</f>
        <v xml:space="preserve"> </v>
      </c>
      <c r="R199" s="32"/>
      <c r="S199" s="32"/>
      <c r="T199" s="53"/>
      <c r="U199" s="21" t="str">
        <f>IFERROR(VLOOKUP(March[[#This Row],[Drug Name2]],'Data Options'!$R$1:$S$100,2,FALSE), " ")</f>
        <v xml:space="preserve"> </v>
      </c>
      <c r="V199" s="32"/>
      <c r="W199" s="32"/>
      <c r="X199" s="53"/>
      <c r="Y199" s="21" t="str">
        <f>IFERROR(VLOOKUP(March[[#This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21" t="str">
        <f>IFERROR(VLOOKUP(March[[#This Row],[Drug Name4]],'Data Options'!$R$1:$S$100,2,FALSE), " ")</f>
        <v xml:space="preserve"> </v>
      </c>
      <c r="AI199" s="32"/>
      <c r="AJ199" s="32"/>
      <c r="AK199" s="53"/>
      <c r="AL199" s="21" t="str">
        <f>IFERROR(VLOOKUP(March[[#This Row],[Drug Name5]],'Data Options'!$R$1:$S$100,2,FALSE), " ")</f>
        <v xml:space="preserve"> </v>
      </c>
      <c r="AM199" s="32"/>
      <c r="AN199" s="32"/>
      <c r="AO199" s="53"/>
      <c r="AP199" s="21" t="str">
        <f>IFERROR(VLOOKUP(March[[#This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21" t="str">
        <f>IFERROR(VLOOKUP(March[[#This Row],[Drug Name7]],'Data Options'!$R$1:$S$100,2,FALSE), " ")</f>
        <v xml:space="preserve"> </v>
      </c>
      <c r="AZ199" s="32"/>
      <c r="BA199" s="32"/>
      <c r="BB199" s="53"/>
      <c r="BC199" s="21" t="str">
        <f>IFERROR(VLOOKUP(March[[#This Row],[Drug Name8]],'Data Options'!$R$1:$S$100,2,FALSE), " ")</f>
        <v xml:space="preserve"> </v>
      </c>
      <c r="BD199" s="32"/>
      <c r="BE199" s="32"/>
      <c r="BF199" s="53"/>
      <c r="BG199" s="21" t="str">
        <f>IFERROR(VLOOKUP(March[[#This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21" t="str">
        <f>IFERROR(VLOOKUP(March[[#This Row],[Drug Name]],'Data Options'!$R$1:$S$100,2,FALSE), " ")</f>
        <v xml:space="preserve"> </v>
      </c>
      <c r="R200" s="32"/>
      <c r="S200" s="32"/>
      <c r="T200" s="53"/>
      <c r="U200" s="21" t="str">
        <f>IFERROR(VLOOKUP(March[[#This Row],[Drug Name2]],'Data Options'!$R$1:$S$100,2,FALSE), " ")</f>
        <v xml:space="preserve"> </v>
      </c>
      <c r="V200" s="32"/>
      <c r="W200" s="32"/>
      <c r="X200" s="53"/>
      <c r="Y200" s="21" t="str">
        <f>IFERROR(VLOOKUP(March[[#This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21" t="str">
        <f>IFERROR(VLOOKUP(March[[#This Row],[Drug Name4]],'Data Options'!$R$1:$S$100,2,FALSE), " ")</f>
        <v xml:space="preserve"> </v>
      </c>
      <c r="AI200" s="32"/>
      <c r="AJ200" s="32"/>
      <c r="AK200" s="53"/>
      <c r="AL200" s="21" t="str">
        <f>IFERROR(VLOOKUP(March[[#This Row],[Drug Name5]],'Data Options'!$R$1:$S$100,2,FALSE), " ")</f>
        <v xml:space="preserve"> </v>
      </c>
      <c r="AM200" s="32"/>
      <c r="AN200" s="32"/>
      <c r="AO200" s="53"/>
      <c r="AP200" s="21" t="str">
        <f>IFERROR(VLOOKUP(March[[#This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21" t="str">
        <f>IFERROR(VLOOKUP(March[[#This Row],[Drug Name7]],'Data Options'!$R$1:$S$100,2,FALSE), " ")</f>
        <v xml:space="preserve"> </v>
      </c>
      <c r="AZ200" s="32"/>
      <c r="BA200" s="32"/>
      <c r="BB200" s="53"/>
      <c r="BC200" s="21" t="str">
        <f>IFERROR(VLOOKUP(March[[#This Row],[Drug Name8]],'Data Options'!$R$1:$S$100,2,FALSE), " ")</f>
        <v xml:space="preserve"> </v>
      </c>
      <c r="BD200" s="32"/>
      <c r="BE200" s="32"/>
      <c r="BF200" s="53"/>
      <c r="BG200" s="21" t="str">
        <f>IFERROR(VLOOKUP(March[[#This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21" t="str">
        <f>IFERROR(VLOOKUP(March[[#This Row],[Drug Name]],'Data Options'!$R$1:$S$100,2,FALSE), " ")</f>
        <v xml:space="preserve"> </v>
      </c>
      <c r="R201" s="32"/>
      <c r="S201" s="32"/>
      <c r="T201" s="53"/>
      <c r="U201" s="21" t="str">
        <f>IFERROR(VLOOKUP(March[[#This Row],[Drug Name2]],'Data Options'!$R$1:$S$100,2,FALSE), " ")</f>
        <v xml:space="preserve"> </v>
      </c>
      <c r="V201" s="32"/>
      <c r="W201" s="32"/>
      <c r="X201" s="53"/>
      <c r="Y201" s="21" t="str">
        <f>IFERROR(VLOOKUP(March[[#This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21" t="str">
        <f>IFERROR(VLOOKUP(March[[#This Row],[Drug Name4]],'Data Options'!$R$1:$S$100,2,FALSE), " ")</f>
        <v xml:space="preserve"> </v>
      </c>
      <c r="AI201" s="32"/>
      <c r="AJ201" s="32"/>
      <c r="AK201" s="53"/>
      <c r="AL201" s="21" t="str">
        <f>IFERROR(VLOOKUP(March[[#This Row],[Drug Name5]],'Data Options'!$R$1:$S$100,2,FALSE), " ")</f>
        <v xml:space="preserve"> </v>
      </c>
      <c r="AM201" s="32"/>
      <c r="AN201" s="32"/>
      <c r="AO201" s="53"/>
      <c r="AP201" s="21" t="str">
        <f>IFERROR(VLOOKUP(March[[#This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21" t="str">
        <f>IFERROR(VLOOKUP(March[[#This Row],[Drug Name7]],'Data Options'!$R$1:$S$100,2,FALSE), " ")</f>
        <v xml:space="preserve"> </v>
      </c>
      <c r="AZ201" s="32"/>
      <c r="BA201" s="32"/>
      <c r="BB201" s="53"/>
      <c r="BC201" s="21" t="str">
        <f>IFERROR(VLOOKUP(March[[#This Row],[Drug Name8]],'Data Options'!$R$1:$S$100,2,FALSE), " ")</f>
        <v xml:space="preserve"> </v>
      </c>
      <c r="BD201" s="32"/>
      <c r="BE201" s="32"/>
      <c r="BF201" s="53"/>
      <c r="BG201" s="21" t="str">
        <f>IFERROR(VLOOKUP(March[[#This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0YWsA5+Bjoo2UfNhrrdeN88dds9sv/sCBhbs6K6D/8DHdSwDKCxx5/caAUuiRAs9HLacHmfP7r+PRtB/ZgQ0kA==" saltValue="7QNpJ1MlZcGgk5XVQzPnQw==" spinCount="100000" sheet="1" objects="1" scenarios="1"/>
  <mergeCells count="13">
    <mergeCell ref="BF2:BI2"/>
    <mergeCell ref="A1:J2"/>
    <mergeCell ref="K1:Y1"/>
    <mergeCell ref="AB1:AF2"/>
    <mergeCell ref="AS1:AW2"/>
    <mergeCell ref="K2:O2"/>
    <mergeCell ref="P2:S2"/>
    <mergeCell ref="T2:W2"/>
    <mergeCell ref="X2:AA2"/>
    <mergeCell ref="AG2:AJ2"/>
    <mergeCell ref="AO2:AR2"/>
    <mergeCell ref="AX2:BA2"/>
    <mergeCell ref="BB2:BE2"/>
  </mergeCells>
  <phoneticPr fontId="5" type="noConversion"/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workbookViewId="0">
      <selection activeCell="C11" sqref="C11"/>
    </sheetView>
  </sheetViews>
  <sheetFormatPr defaultColWidth="10.83203125" defaultRowHeight="15.5"/>
  <cols>
    <col min="1" max="16384" width="10.83203125" style="24"/>
  </cols>
  <sheetData>
    <row r="1" spans="1:61" ht="2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3"/>
      <c r="AA1" s="43"/>
      <c r="AB1" s="67" t="s">
        <v>154</v>
      </c>
      <c r="AC1" s="67"/>
      <c r="AD1" s="67"/>
      <c r="AE1" s="67"/>
      <c r="AF1" s="67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68" t="s">
        <v>156</v>
      </c>
      <c r="AT1" s="68"/>
      <c r="AU1" s="68"/>
      <c r="AV1" s="68"/>
      <c r="AW1" s="68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7"/>
      <c r="BI1" s="47"/>
    </row>
    <row r="2" spans="1:61" ht="21">
      <c r="A2" s="57"/>
      <c r="B2" s="57"/>
      <c r="C2" s="57"/>
      <c r="D2" s="57"/>
      <c r="E2" s="57"/>
      <c r="F2" s="57"/>
      <c r="G2" s="57"/>
      <c r="H2" s="57"/>
      <c r="I2" s="57"/>
      <c r="J2" s="57"/>
      <c r="K2" s="59" t="s">
        <v>153</v>
      </c>
      <c r="L2" s="59"/>
      <c r="M2" s="59"/>
      <c r="N2" s="59"/>
      <c r="O2" s="59"/>
      <c r="P2" s="60" t="s">
        <v>104</v>
      </c>
      <c r="Q2" s="60"/>
      <c r="R2" s="60"/>
      <c r="S2" s="60"/>
      <c r="T2" s="61" t="s">
        <v>105</v>
      </c>
      <c r="U2" s="61"/>
      <c r="V2" s="61"/>
      <c r="W2" s="61"/>
      <c r="X2" s="62" t="s">
        <v>106</v>
      </c>
      <c r="Y2" s="62"/>
      <c r="Z2" s="62"/>
      <c r="AA2" s="62"/>
      <c r="AB2" s="67"/>
      <c r="AC2" s="67"/>
      <c r="AD2" s="67"/>
      <c r="AE2" s="67"/>
      <c r="AF2" s="67"/>
      <c r="AG2" s="63" t="s">
        <v>107</v>
      </c>
      <c r="AH2" s="63"/>
      <c r="AI2" s="63"/>
      <c r="AJ2" s="63"/>
      <c r="AK2" s="48" t="s">
        <v>198</v>
      </c>
      <c r="AL2" s="48"/>
      <c r="AM2" s="48"/>
      <c r="AN2" s="48"/>
      <c r="AO2" s="66" t="s">
        <v>155</v>
      </c>
      <c r="AP2" s="66"/>
      <c r="AQ2" s="66"/>
      <c r="AR2" s="66"/>
      <c r="AS2" s="68"/>
      <c r="AT2" s="68"/>
      <c r="AU2" s="68"/>
      <c r="AV2" s="68"/>
      <c r="AW2" s="68"/>
      <c r="AX2" s="64" t="s">
        <v>109</v>
      </c>
      <c r="AY2" s="64"/>
      <c r="AZ2" s="64"/>
      <c r="BA2" s="64"/>
      <c r="BB2" s="65" t="s">
        <v>110</v>
      </c>
      <c r="BC2" s="65"/>
      <c r="BD2" s="65"/>
      <c r="BE2" s="65"/>
      <c r="BF2" s="66" t="s">
        <v>108</v>
      </c>
      <c r="BG2" s="66"/>
      <c r="BH2" s="66"/>
      <c r="BI2" s="66"/>
    </row>
    <row r="3" spans="1:61" ht="93.5" thickBot="1">
      <c r="A3" s="49" t="s">
        <v>4</v>
      </c>
      <c r="B3" s="49" t="s">
        <v>199</v>
      </c>
      <c r="C3" s="49" t="s">
        <v>5</v>
      </c>
      <c r="D3" s="49" t="s">
        <v>6</v>
      </c>
      <c r="E3" s="49" t="s">
        <v>0</v>
      </c>
      <c r="F3" s="49" t="s">
        <v>111</v>
      </c>
      <c r="G3" s="49" t="s">
        <v>1</v>
      </c>
      <c r="H3" s="49" t="s">
        <v>150</v>
      </c>
      <c r="I3" s="49" t="s">
        <v>200</v>
      </c>
      <c r="J3" s="49" t="s">
        <v>196</v>
      </c>
      <c r="K3" s="49" t="s">
        <v>82</v>
      </c>
      <c r="L3" s="49" t="s">
        <v>197</v>
      </c>
      <c r="M3" s="49" t="s">
        <v>193</v>
      </c>
      <c r="N3" s="49" t="s">
        <v>194</v>
      </c>
      <c r="O3" s="49" t="s">
        <v>195</v>
      </c>
      <c r="P3" s="50" t="s">
        <v>8</v>
      </c>
      <c r="Q3" s="50" t="s">
        <v>3</v>
      </c>
      <c r="R3" s="49" t="s">
        <v>65</v>
      </c>
      <c r="S3" s="49" t="s">
        <v>85</v>
      </c>
      <c r="T3" s="50" t="s">
        <v>157</v>
      </c>
      <c r="U3" s="50" t="s">
        <v>161</v>
      </c>
      <c r="V3" s="49" t="s">
        <v>163</v>
      </c>
      <c r="W3" s="49" t="s">
        <v>164</v>
      </c>
      <c r="X3" s="50" t="s">
        <v>165</v>
      </c>
      <c r="Y3" s="50" t="s">
        <v>158</v>
      </c>
      <c r="Z3" s="49" t="s">
        <v>162</v>
      </c>
      <c r="AA3" s="49" t="s">
        <v>166</v>
      </c>
      <c r="AB3" s="49" t="s">
        <v>167</v>
      </c>
      <c r="AC3" s="49" t="s">
        <v>201</v>
      </c>
      <c r="AD3" s="49" t="s">
        <v>168</v>
      </c>
      <c r="AE3" s="49" t="s">
        <v>202</v>
      </c>
      <c r="AF3" s="49" t="s">
        <v>203</v>
      </c>
      <c r="AG3" s="50" t="s">
        <v>169</v>
      </c>
      <c r="AH3" s="50" t="s">
        <v>170</v>
      </c>
      <c r="AI3" s="49" t="s">
        <v>171</v>
      </c>
      <c r="AJ3" s="49" t="s">
        <v>172</v>
      </c>
      <c r="AK3" s="50" t="s">
        <v>173</v>
      </c>
      <c r="AL3" s="50" t="s">
        <v>174</v>
      </c>
      <c r="AM3" s="49" t="s">
        <v>159</v>
      </c>
      <c r="AN3" s="49" t="s">
        <v>175</v>
      </c>
      <c r="AO3" s="50" t="s">
        <v>176</v>
      </c>
      <c r="AP3" s="50" t="s">
        <v>177</v>
      </c>
      <c r="AQ3" s="49" t="s">
        <v>178</v>
      </c>
      <c r="AR3" s="49" t="s">
        <v>160</v>
      </c>
      <c r="AS3" s="49" t="s">
        <v>179</v>
      </c>
      <c r="AT3" s="49" t="s">
        <v>206</v>
      </c>
      <c r="AU3" s="49" t="s">
        <v>180</v>
      </c>
      <c r="AV3" s="49" t="s">
        <v>204</v>
      </c>
      <c r="AW3" s="49" t="s">
        <v>205</v>
      </c>
      <c r="AX3" s="49" t="s">
        <v>181</v>
      </c>
      <c r="AY3" s="49" t="s">
        <v>182</v>
      </c>
      <c r="AZ3" s="49" t="s">
        <v>183</v>
      </c>
      <c r="BA3" s="49" t="s">
        <v>184</v>
      </c>
      <c r="BB3" s="49" t="s">
        <v>185</v>
      </c>
      <c r="BC3" s="49" t="s">
        <v>186</v>
      </c>
      <c r="BD3" s="49" t="s">
        <v>187</v>
      </c>
      <c r="BE3" s="49" t="s">
        <v>188</v>
      </c>
      <c r="BF3" s="49" t="s">
        <v>189</v>
      </c>
      <c r="BG3" s="49" t="s">
        <v>190</v>
      </c>
      <c r="BH3" s="49" t="s">
        <v>191</v>
      </c>
      <c r="BI3" s="49" t="s">
        <v>192</v>
      </c>
    </row>
    <row r="4" spans="1:61" ht="62">
      <c r="A4" s="51">
        <v>43922</v>
      </c>
      <c r="B4" s="52" t="s">
        <v>294</v>
      </c>
      <c r="C4" s="32">
        <v>20031</v>
      </c>
      <c r="D4" s="32" t="s">
        <v>12</v>
      </c>
      <c r="E4" s="32" t="s">
        <v>16</v>
      </c>
      <c r="F4" s="32" t="s">
        <v>218</v>
      </c>
      <c r="G4" s="32" t="s">
        <v>20</v>
      </c>
      <c r="H4" s="32"/>
      <c r="I4" s="32" t="s">
        <v>22</v>
      </c>
      <c r="J4" s="32">
        <v>2</v>
      </c>
      <c r="K4" s="32" t="s">
        <v>291</v>
      </c>
      <c r="L4" s="32"/>
      <c r="M4" s="32">
        <v>1</v>
      </c>
      <c r="N4" s="31" t="s">
        <v>22</v>
      </c>
      <c r="O4" s="31" t="s">
        <v>22</v>
      </c>
      <c r="P4" s="53" t="s">
        <v>313</v>
      </c>
      <c r="Q4" s="21" t="str">
        <f>IFERROR(VLOOKUP(April[[#This Row],[Drug Name]],'Data Options'!$R$1:$S$100,2,FALSE), " ")</f>
        <v>Otic</v>
      </c>
      <c r="R4" s="32" t="s">
        <v>92</v>
      </c>
      <c r="S4" s="32" t="s">
        <v>98</v>
      </c>
      <c r="T4" s="53"/>
      <c r="U4" s="21" t="str">
        <f>IFERROR(VLOOKUP(April[[#This Row],[Drug Name2]],'Data Options'!$R$1:$S$100,2,FALSE), " ")</f>
        <v xml:space="preserve"> </v>
      </c>
      <c r="V4" s="32"/>
      <c r="W4" s="32"/>
      <c r="X4" s="53"/>
      <c r="Y4" s="21" t="str">
        <f>IFERROR(VLOOKUP(April[[#This Row],[Drug Name3]],'Data Options'!$R$1:$S$100,2,FALSE), " ")</f>
        <v xml:space="preserve"> </v>
      </c>
      <c r="Z4" s="32"/>
      <c r="AA4" s="32"/>
      <c r="AB4" s="32" t="s">
        <v>224</v>
      </c>
      <c r="AC4" s="32"/>
      <c r="AD4" s="32"/>
      <c r="AE4" s="31" t="s">
        <v>22</v>
      </c>
      <c r="AF4" s="31" t="s">
        <v>23</v>
      </c>
      <c r="AG4" s="53" t="s">
        <v>251</v>
      </c>
      <c r="AH4" s="21" t="str">
        <f>IFERROR(VLOOKUP(April[[#This Row],[Drug Name4]],'Data Options'!$R$1:$S$100,2,FALSE), " ")</f>
        <v>Ophthalmic</v>
      </c>
      <c r="AI4" s="32" t="s">
        <v>120</v>
      </c>
      <c r="AJ4" s="32" t="s">
        <v>98</v>
      </c>
      <c r="AK4" s="53"/>
      <c r="AL4" s="21" t="str">
        <f>IFERROR(VLOOKUP(April[[#This Row],[Drug Name5]],'Data Options'!$R$1:$S$100,2,FALSE), " ")</f>
        <v xml:space="preserve"> </v>
      </c>
      <c r="AM4" s="32"/>
      <c r="AN4" s="32"/>
      <c r="AO4" s="53"/>
      <c r="AP4" s="21" t="str">
        <f>IFERROR(VLOOKUP(April[[#This Row],[Drug Name6]],'Data Options'!$R$1:$S$100,2,FALSE), " ")</f>
        <v xml:space="preserve"> </v>
      </c>
      <c r="AQ4" s="32"/>
      <c r="AR4" s="32"/>
      <c r="AS4" s="32"/>
      <c r="AT4" s="32"/>
      <c r="AU4" s="32"/>
      <c r="AV4" s="31"/>
      <c r="AW4" s="31"/>
      <c r="AX4" s="53"/>
      <c r="AY4" s="21" t="str">
        <f>IFERROR(VLOOKUP(April[[#This Row],[Drug Name7]],'Data Options'!$R$1:$S$100,2,FALSE), " ")</f>
        <v xml:space="preserve"> </v>
      </c>
      <c r="AZ4" s="32"/>
      <c r="BA4" s="32"/>
      <c r="BB4" s="53"/>
      <c r="BC4" s="21" t="str">
        <f>IFERROR(VLOOKUP(April[[#This Row],[Drug Name8]],'Data Options'!$R$1:$S$100,2,FALSE), " ")</f>
        <v xml:space="preserve"> </v>
      </c>
      <c r="BD4" s="32"/>
      <c r="BE4" s="32"/>
      <c r="BF4" s="53"/>
      <c r="BG4" s="21" t="str">
        <f>IFERROR(VLOOKUP(April[[#This Row],[Drug Name9]],'Data Options'!$R$1:$S$100,2,FALSE), " ")</f>
        <v xml:space="preserve"> </v>
      </c>
      <c r="BH4" s="32"/>
      <c r="BI4" s="32"/>
    </row>
    <row r="5" spans="1:61">
      <c r="A5" s="51">
        <v>43923</v>
      </c>
      <c r="B5" s="52" t="s">
        <v>294</v>
      </c>
      <c r="C5" s="32">
        <v>20032</v>
      </c>
      <c r="D5" s="32" t="s">
        <v>13</v>
      </c>
      <c r="E5" s="32" t="s">
        <v>14</v>
      </c>
      <c r="F5" s="32" t="s">
        <v>117</v>
      </c>
      <c r="G5" s="32" t="s">
        <v>18</v>
      </c>
      <c r="H5" s="32"/>
      <c r="I5" s="32" t="s">
        <v>23</v>
      </c>
      <c r="J5" s="32">
        <v>0</v>
      </c>
      <c r="K5" s="32" t="s">
        <v>100</v>
      </c>
      <c r="L5" s="32"/>
      <c r="M5" s="32"/>
      <c r="N5" s="31"/>
      <c r="O5" s="31"/>
      <c r="P5" s="53"/>
      <c r="Q5" s="21" t="str">
        <f>IFERROR(VLOOKUP(April[[#This Row],[Drug Name]],'Data Options'!$R$1:$S$100,2,FALSE), " ")</f>
        <v xml:space="preserve"> </v>
      </c>
      <c r="R5" s="32"/>
      <c r="S5" s="32"/>
      <c r="T5" s="53"/>
      <c r="U5" s="21" t="str">
        <f>IFERROR(VLOOKUP(April[[#This Row],[Drug Name2]],'Data Options'!$R$1:$S$100,2,FALSE), " ")</f>
        <v xml:space="preserve"> </v>
      </c>
      <c r="V5" s="32"/>
      <c r="W5" s="32"/>
      <c r="X5" s="53"/>
      <c r="Y5" s="21" t="str">
        <f>IFERROR(VLOOKUP(April[[#This Row],[Drug Name3]],'Data Options'!$R$1:$S$100,2,FALSE), " ")</f>
        <v xml:space="preserve"> </v>
      </c>
      <c r="Z5" s="32"/>
      <c r="AA5" s="32"/>
      <c r="AB5" s="32"/>
      <c r="AC5" s="32"/>
      <c r="AD5" s="32"/>
      <c r="AE5" s="31"/>
      <c r="AF5" s="31"/>
      <c r="AG5" s="53"/>
      <c r="AH5" s="21" t="str">
        <f>IFERROR(VLOOKUP(April[[#This Row],[Drug Name4]],'Data Options'!$R$1:$S$100,2,FALSE), " ")</f>
        <v xml:space="preserve"> </v>
      </c>
      <c r="AI5" s="32"/>
      <c r="AJ5" s="32"/>
      <c r="AK5" s="53"/>
      <c r="AL5" s="21" t="str">
        <f>IFERROR(VLOOKUP(April[[#This Row],[Drug Name5]],'Data Options'!$R$1:$S$100,2,FALSE), " ")</f>
        <v xml:space="preserve"> </v>
      </c>
      <c r="AM5" s="32"/>
      <c r="AN5" s="32"/>
      <c r="AO5" s="53"/>
      <c r="AP5" s="21" t="str">
        <f>IFERROR(VLOOKUP(April[[#This Row],[Drug Name6]],'Data Options'!$R$1:$S$100,2,FALSE), " ")</f>
        <v xml:space="preserve"> </v>
      </c>
      <c r="AQ5" s="32"/>
      <c r="AR5" s="32"/>
      <c r="AS5" s="32"/>
      <c r="AT5" s="32"/>
      <c r="AU5" s="32"/>
      <c r="AV5" s="31"/>
      <c r="AW5" s="31"/>
      <c r="AX5" s="53"/>
      <c r="AY5" s="21" t="str">
        <f>IFERROR(VLOOKUP(April[[#This Row],[Drug Name7]],'Data Options'!$R$1:$S$100,2,FALSE), " ")</f>
        <v xml:space="preserve"> </v>
      </c>
      <c r="AZ5" s="32"/>
      <c r="BA5" s="32"/>
      <c r="BB5" s="53"/>
      <c r="BC5" s="21" t="str">
        <f>IFERROR(VLOOKUP(April[[#This Row],[Drug Name8]],'Data Options'!$R$1:$S$100,2,FALSE), " ")</f>
        <v xml:space="preserve"> </v>
      </c>
      <c r="BD5" s="32"/>
      <c r="BE5" s="32"/>
      <c r="BF5" s="53"/>
      <c r="BG5" s="21" t="str">
        <f>IFERROR(VLOOKUP(April[[#This Row],[Drug Name9]],'Data Options'!$R$1:$S$100,2,FALSE), " ")</f>
        <v xml:space="preserve"> </v>
      </c>
      <c r="BH5" s="32"/>
      <c r="BI5" s="32"/>
    </row>
    <row r="6" spans="1:61">
      <c r="A6" s="51">
        <v>43924</v>
      </c>
      <c r="B6" s="52" t="s">
        <v>294</v>
      </c>
      <c r="C6" s="32">
        <v>20033</v>
      </c>
      <c r="D6" s="32" t="s">
        <v>13</v>
      </c>
      <c r="E6" s="32" t="s">
        <v>17</v>
      </c>
      <c r="F6" s="32" t="s">
        <v>219</v>
      </c>
      <c r="G6" s="32" t="s">
        <v>20</v>
      </c>
      <c r="H6" s="32"/>
      <c r="I6" s="32" t="s">
        <v>247</v>
      </c>
      <c r="J6" s="32"/>
      <c r="K6" s="32" t="s">
        <v>277</v>
      </c>
      <c r="L6" s="32"/>
      <c r="M6" s="32"/>
      <c r="N6" s="31" t="s">
        <v>22</v>
      </c>
      <c r="O6" s="31" t="s">
        <v>23</v>
      </c>
      <c r="P6" s="53"/>
      <c r="Q6" s="21" t="str">
        <f>IFERROR(VLOOKUP(April[[#This Row],[Drug Name]],'Data Options'!$R$1:$S$100,2,FALSE), " ")</f>
        <v xml:space="preserve"> </v>
      </c>
      <c r="R6" s="32"/>
      <c r="S6" s="32"/>
      <c r="T6" s="53"/>
      <c r="U6" s="21" t="str">
        <f>IFERROR(VLOOKUP(April[[#This Row],[Drug Name2]],'Data Options'!$R$1:$S$100,2,FALSE), " ")</f>
        <v xml:space="preserve"> </v>
      </c>
      <c r="V6" s="32"/>
      <c r="W6" s="32"/>
      <c r="X6" s="53"/>
      <c r="Y6" s="21" t="str">
        <f>IFERROR(VLOOKUP(April[[#This Row],[Drug Name3]],'Data Options'!$R$1:$S$100,2,FALSE), " ")</f>
        <v xml:space="preserve"> </v>
      </c>
      <c r="Z6" s="32"/>
      <c r="AA6" s="32"/>
      <c r="AB6" s="32"/>
      <c r="AC6" s="32"/>
      <c r="AD6" s="32"/>
      <c r="AE6" s="31"/>
      <c r="AF6" s="31"/>
      <c r="AG6" s="53"/>
      <c r="AH6" s="21" t="str">
        <f>IFERROR(VLOOKUP(April[[#This Row],[Drug Name4]],'Data Options'!$R$1:$S$100,2,FALSE), " ")</f>
        <v xml:space="preserve"> </v>
      </c>
      <c r="AI6" s="32"/>
      <c r="AJ6" s="32"/>
      <c r="AK6" s="53"/>
      <c r="AL6" s="21" t="str">
        <f>IFERROR(VLOOKUP(April[[#This Row],[Drug Name5]],'Data Options'!$R$1:$S$100,2,FALSE), " ")</f>
        <v xml:space="preserve"> </v>
      </c>
      <c r="AM6" s="32"/>
      <c r="AN6" s="32"/>
      <c r="AO6" s="53"/>
      <c r="AP6" s="21" t="str">
        <f>IFERROR(VLOOKUP(April[[#This Row],[Drug Name6]],'Data Options'!$R$1:$S$100,2,FALSE), " ")</f>
        <v xml:space="preserve"> </v>
      </c>
      <c r="AQ6" s="32"/>
      <c r="AR6" s="32"/>
      <c r="AS6" s="32"/>
      <c r="AT6" s="32"/>
      <c r="AU6" s="32"/>
      <c r="AV6" s="31"/>
      <c r="AW6" s="31"/>
      <c r="AX6" s="53"/>
      <c r="AY6" s="21" t="str">
        <f>IFERROR(VLOOKUP(April[[#This Row],[Drug Name7]],'Data Options'!$R$1:$S$100,2,FALSE), " ")</f>
        <v xml:space="preserve"> </v>
      </c>
      <c r="AZ6" s="32"/>
      <c r="BA6" s="32"/>
      <c r="BB6" s="53"/>
      <c r="BC6" s="21" t="str">
        <f>IFERROR(VLOOKUP(April[[#This Row],[Drug Name8]],'Data Options'!$R$1:$S$100,2,FALSE), " ")</f>
        <v xml:space="preserve"> </v>
      </c>
      <c r="BD6" s="32"/>
      <c r="BE6" s="32"/>
      <c r="BF6" s="53"/>
      <c r="BG6" s="21" t="str">
        <f>IFERROR(VLOOKUP(April[[#This Row],[Drug Name9]],'Data Options'!$R$1:$S$100,2,FALSE), " ")</f>
        <v xml:space="preserve"> </v>
      </c>
      <c r="BH6" s="32"/>
      <c r="BI6" s="32"/>
    </row>
    <row r="7" spans="1:61" ht="31">
      <c r="A7" s="51">
        <v>43925</v>
      </c>
      <c r="B7" s="52" t="s">
        <v>294</v>
      </c>
      <c r="C7" s="32">
        <v>20034</v>
      </c>
      <c r="D7" s="32" t="s">
        <v>12</v>
      </c>
      <c r="E7" s="32" t="s">
        <v>15</v>
      </c>
      <c r="F7" s="32" t="s">
        <v>220</v>
      </c>
      <c r="G7" s="32" t="s">
        <v>20</v>
      </c>
      <c r="H7" s="32"/>
      <c r="I7" s="32" t="s">
        <v>22</v>
      </c>
      <c r="J7" s="32"/>
      <c r="K7" s="32" t="s">
        <v>277</v>
      </c>
      <c r="L7" s="32"/>
      <c r="M7" s="32"/>
      <c r="N7" s="31" t="s">
        <v>23</v>
      </c>
      <c r="O7" s="31" t="s">
        <v>23</v>
      </c>
      <c r="P7" s="53" t="s">
        <v>241</v>
      </c>
      <c r="Q7" s="21" t="str">
        <f>IFERROR(VLOOKUP(April[[#This Row],[Drug Name]],'Data Options'!$R$1:$S$100,2,FALSE), " ")</f>
        <v>Cephalosporins</v>
      </c>
      <c r="R7" s="32" t="s">
        <v>122</v>
      </c>
      <c r="S7" s="32" t="s">
        <v>93</v>
      </c>
      <c r="T7" s="53"/>
      <c r="U7" s="21" t="str">
        <f>IFERROR(VLOOKUP(April[[#This Row],[Drug Name2]],'Data Options'!$R$1:$S$100,2,FALSE), " ")</f>
        <v xml:space="preserve"> </v>
      </c>
      <c r="V7" s="32"/>
      <c r="W7" s="32"/>
      <c r="X7" s="53"/>
      <c r="Y7" s="21" t="str">
        <f>IFERROR(VLOOKUP(April[[#This Row],[Drug Name3]],'Data Options'!$R$1:$S$100,2,FALSE), " ")</f>
        <v xml:space="preserve"> </v>
      </c>
      <c r="Z7" s="32"/>
      <c r="AA7" s="32"/>
      <c r="AB7" s="32"/>
      <c r="AC7" s="32"/>
      <c r="AD7" s="32"/>
      <c r="AE7" s="31"/>
      <c r="AF7" s="31"/>
      <c r="AG7" s="53"/>
      <c r="AH7" s="21" t="str">
        <f>IFERROR(VLOOKUP(April[[#This Row],[Drug Name4]],'Data Options'!$R$1:$S$100,2,FALSE), " ")</f>
        <v xml:space="preserve"> </v>
      </c>
      <c r="AI7" s="32"/>
      <c r="AJ7" s="32"/>
      <c r="AK7" s="53"/>
      <c r="AL7" s="21" t="str">
        <f>IFERROR(VLOOKUP(April[[#This Row],[Drug Name5]],'Data Options'!$R$1:$S$100,2,FALSE), " ")</f>
        <v xml:space="preserve"> </v>
      </c>
      <c r="AM7" s="32"/>
      <c r="AN7" s="32"/>
      <c r="AO7" s="53"/>
      <c r="AP7" s="21" t="str">
        <f>IFERROR(VLOOKUP(April[[#This Row],[Drug Name6]],'Data Options'!$R$1:$S$100,2,FALSE), " ")</f>
        <v xml:space="preserve"> </v>
      </c>
      <c r="AQ7" s="32"/>
      <c r="AR7" s="32"/>
      <c r="AS7" s="32"/>
      <c r="AT7" s="32"/>
      <c r="AU7" s="32"/>
      <c r="AV7" s="31"/>
      <c r="AW7" s="31"/>
      <c r="AX7" s="53"/>
      <c r="AY7" s="21" t="str">
        <f>IFERROR(VLOOKUP(April[[#This Row],[Drug Name7]],'Data Options'!$R$1:$S$100,2,FALSE), " ")</f>
        <v xml:space="preserve"> </v>
      </c>
      <c r="AZ7" s="32"/>
      <c r="BA7" s="32"/>
      <c r="BB7" s="53"/>
      <c r="BC7" s="21" t="str">
        <f>IFERROR(VLOOKUP(April[[#This Row],[Drug Name8]],'Data Options'!$R$1:$S$100,2,FALSE), " ")</f>
        <v xml:space="preserve"> </v>
      </c>
      <c r="BD7" s="32"/>
      <c r="BE7" s="32"/>
      <c r="BF7" s="53"/>
      <c r="BG7" s="21" t="str">
        <f>IFERROR(VLOOKUP(April[[#This Row],[Drug Name9]],'Data Options'!$R$1:$S$100,2,FALSE), " ")</f>
        <v xml:space="preserve"> </v>
      </c>
      <c r="BH7" s="32"/>
      <c r="BI7" s="32"/>
    </row>
    <row r="8" spans="1:61">
      <c r="A8" s="51">
        <v>43926</v>
      </c>
      <c r="B8" s="52" t="s">
        <v>294</v>
      </c>
      <c r="C8" s="32">
        <v>20035</v>
      </c>
      <c r="D8" s="32" t="s">
        <v>12</v>
      </c>
      <c r="E8" s="32" t="s">
        <v>17</v>
      </c>
      <c r="F8" s="32" t="s">
        <v>221</v>
      </c>
      <c r="G8" s="32" t="s">
        <v>292</v>
      </c>
      <c r="H8" s="32"/>
      <c r="I8" s="32" t="s">
        <v>23</v>
      </c>
      <c r="J8" s="32">
        <v>0</v>
      </c>
      <c r="K8" s="32" t="s">
        <v>245</v>
      </c>
      <c r="L8" s="32"/>
      <c r="M8" s="32"/>
      <c r="N8" s="31" t="s">
        <v>22</v>
      </c>
      <c r="O8" s="31" t="s">
        <v>22</v>
      </c>
      <c r="P8" s="53"/>
      <c r="Q8" s="21" t="str">
        <f>IFERROR(VLOOKUP(April[[#This Row],[Drug Name]],'Data Options'!$R$1:$S$100,2,FALSE), " ")</f>
        <v xml:space="preserve"> </v>
      </c>
      <c r="R8" s="32"/>
      <c r="S8" s="32"/>
      <c r="T8" s="53"/>
      <c r="U8" s="21" t="str">
        <f>IFERROR(VLOOKUP(April[[#This Row],[Drug Name2]],'Data Options'!$R$1:$S$100,2,FALSE), " ")</f>
        <v xml:space="preserve"> </v>
      </c>
      <c r="V8" s="32"/>
      <c r="W8" s="32"/>
      <c r="X8" s="53"/>
      <c r="Y8" s="21" t="str">
        <f>IFERROR(VLOOKUP(April[[#This Row],[Drug Name3]],'Data Options'!$R$1:$S$100,2,FALSE), " ")</f>
        <v xml:space="preserve"> </v>
      </c>
      <c r="Z8" s="32"/>
      <c r="AA8" s="32"/>
      <c r="AB8" s="32"/>
      <c r="AC8" s="32"/>
      <c r="AD8" s="32"/>
      <c r="AE8" s="31"/>
      <c r="AF8" s="31"/>
      <c r="AG8" s="53"/>
      <c r="AH8" s="21" t="str">
        <f>IFERROR(VLOOKUP(April[[#This Row],[Drug Name4]],'Data Options'!$R$1:$S$100,2,FALSE), " ")</f>
        <v xml:space="preserve"> </v>
      </c>
      <c r="AI8" s="32"/>
      <c r="AJ8" s="32"/>
      <c r="AK8" s="53"/>
      <c r="AL8" s="21" t="str">
        <f>IFERROR(VLOOKUP(April[[#This Row],[Drug Name5]],'Data Options'!$R$1:$S$100,2,FALSE), " ")</f>
        <v xml:space="preserve"> </v>
      </c>
      <c r="AM8" s="32"/>
      <c r="AN8" s="32"/>
      <c r="AO8" s="53"/>
      <c r="AP8" s="21" t="str">
        <f>IFERROR(VLOOKUP(April[[#This Row],[Drug Name6]],'Data Options'!$R$1:$S$100,2,FALSE), " ")</f>
        <v xml:space="preserve"> </v>
      </c>
      <c r="AQ8" s="32"/>
      <c r="AR8" s="32"/>
      <c r="AS8" s="32"/>
      <c r="AT8" s="32"/>
      <c r="AU8" s="32"/>
      <c r="AV8" s="31"/>
      <c r="AW8" s="31"/>
      <c r="AX8" s="53"/>
      <c r="AY8" s="21" t="str">
        <f>IFERROR(VLOOKUP(April[[#This Row],[Drug Name7]],'Data Options'!$R$1:$S$100,2,FALSE), " ")</f>
        <v xml:space="preserve"> </v>
      </c>
      <c r="AZ8" s="32"/>
      <c r="BA8" s="32"/>
      <c r="BB8" s="53"/>
      <c r="BC8" s="21" t="str">
        <f>IFERROR(VLOOKUP(April[[#This Row],[Drug Name8]],'Data Options'!$R$1:$S$100,2,FALSE), " ")</f>
        <v xml:space="preserve"> </v>
      </c>
      <c r="BD8" s="32"/>
      <c r="BE8" s="32"/>
      <c r="BF8" s="53"/>
      <c r="BG8" s="21" t="str">
        <f>IFERROR(VLOOKUP(April[[#This Row],[Drug Name9]],'Data Options'!$R$1:$S$100,2,FALSE), " ")</f>
        <v xml:space="preserve"> </v>
      </c>
      <c r="BH8" s="32"/>
      <c r="BI8" s="32"/>
    </row>
    <row r="9" spans="1:61" ht="46.5">
      <c r="A9" s="51">
        <v>43927</v>
      </c>
      <c r="B9" s="52" t="s">
        <v>294</v>
      </c>
      <c r="C9" s="32">
        <v>20036</v>
      </c>
      <c r="D9" s="32" t="s">
        <v>13</v>
      </c>
      <c r="E9" s="32" t="s">
        <v>17</v>
      </c>
      <c r="F9" s="32" t="s">
        <v>123</v>
      </c>
      <c r="G9" s="32" t="s">
        <v>19</v>
      </c>
      <c r="H9" s="32"/>
      <c r="I9" s="32" t="s">
        <v>22</v>
      </c>
      <c r="J9" s="32">
        <v>1</v>
      </c>
      <c r="K9" s="32" t="s">
        <v>275</v>
      </c>
      <c r="L9" s="32"/>
      <c r="M9" s="32">
        <v>1</v>
      </c>
      <c r="N9" s="31" t="s">
        <v>22</v>
      </c>
      <c r="O9" s="31" t="s">
        <v>22</v>
      </c>
      <c r="P9" s="53" t="s">
        <v>243</v>
      </c>
      <c r="Q9" s="21" t="str">
        <f>IFERROR(VLOOKUP(April[[#This Row],[Drug Name]],'Data Options'!$R$1:$S$100,2,FALSE), " ")</f>
        <v>Fluoroquinolones</v>
      </c>
      <c r="R9" s="32" t="s">
        <v>92</v>
      </c>
      <c r="S9" s="32" t="s">
        <v>89</v>
      </c>
      <c r="T9" s="53"/>
      <c r="U9" s="21" t="str">
        <f>IFERROR(VLOOKUP(April[[#This Row],[Drug Name2]],'Data Options'!$R$1:$S$100,2,FALSE), " ")</f>
        <v xml:space="preserve"> </v>
      </c>
      <c r="V9" s="32"/>
      <c r="W9" s="32"/>
      <c r="X9" s="53"/>
      <c r="Y9" s="21" t="str">
        <f>IFERROR(VLOOKUP(April[[#This Row],[Drug Name3]],'Data Options'!$R$1:$S$100,2,FALSE), " ")</f>
        <v xml:space="preserve"> </v>
      </c>
      <c r="Z9" s="32"/>
      <c r="AA9" s="32"/>
      <c r="AB9" s="32"/>
      <c r="AC9" s="32"/>
      <c r="AD9" s="32"/>
      <c r="AE9" s="31"/>
      <c r="AF9" s="31"/>
      <c r="AG9" s="53"/>
      <c r="AH9" s="21" t="str">
        <f>IFERROR(VLOOKUP(April[[#This Row],[Drug Name4]],'Data Options'!$R$1:$S$100,2,FALSE), " ")</f>
        <v xml:space="preserve"> </v>
      </c>
      <c r="AI9" s="32"/>
      <c r="AJ9" s="32"/>
      <c r="AK9" s="53"/>
      <c r="AL9" s="21" t="str">
        <f>IFERROR(VLOOKUP(April[[#This Row],[Drug Name5]],'Data Options'!$R$1:$S$100,2,FALSE), " ")</f>
        <v xml:space="preserve"> </v>
      </c>
      <c r="AM9" s="32"/>
      <c r="AN9" s="32"/>
      <c r="AO9" s="53"/>
      <c r="AP9" s="21" t="str">
        <f>IFERROR(VLOOKUP(April[[#This Row],[Drug Name6]],'Data Options'!$R$1:$S$100,2,FALSE), " ")</f>
        <v xml:space="preserve"> </v>
      </c>
      <c r="AQ9" s="32"/>
      <c r="AR9" s="32"/>
      <c r="AS9" s="32"/>
      <c r="AT9" s="32"/>
      <c r="AU9" s="32"/>
      <c r="AV9" s="31"/>
      <c r="AW9" s="31"/>
      <c r="AX9" s="53"/>
      <c r="AY9" s="21" t="str">
        <f>IFERROR(VLOOKUP(April[[#This Row],[Drug Name7]],'Data Options'!$R$1:$S$100,2,FALSE), " ")</f>
        <v xml:space="preserve"> </v>
      </c>
      <c r="AZ9" s="32"/>
      <c r="BA9" s="32"/>
      <c r="BB9" s="53"/>
      <c r="BC9" s="21" t="str">
        <f>IFERROR(VLOOKUP(April[[#This Row],[Drug Name8]],'Data Options'!$R$1:$S$100,2,FALSE), " ")</f>
        <v xml:space="preserve"> </v>
      </c>
      <c r="BD9" s="32"/>
      <c r="BE9" s="32"/>
      <c r="BF9" s="53"/>
      <c r="BG9" s="21" t="str">
        <f>IFERROR(VLOOKUP(April[[#This Row],[Drug Name9]],'Data Options'!$R$1:$S$100,2,FALSE), " ")</f>
        <v xml:space="preserve"> </v>
      </c>
      <c r="BH9" s="32"/>
      <c r="BI9" s="32"/>
    </row>
    <row r="10" spans="1:61">
      <c r="A10" s="51">
        <v>43928</v>
      </c>
      <c r="B10" s="52" t="s">
        <v>294</v>
      </c>
      <c r="C10" s="32">
        <v>20037</v>
      </c>
      <c r="D10" s="32" t="s">
        <v>13</v>
      </c>
      <c r="E10" s="32" t="s">
        <v>15</v>
      </c>
      <c r="F10" s="32" t="s">
        <v>218</v>
      </c>
      <c r="G10" s="32" t="s">
        <v>18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1"/>
      <c r="O10" s="31"/>
      <c r="P10" s="53"/>
      <c r="Q10" s="21" t="str">
        <f>IFERROR(VLOOKUP(April[[#This Row],[Drug Name]],'Data Options'!$R$1:$S$100,2,FALSE), " ")</f>
        <v xml:space="preserve"> </v>
      </c>
      <c r="R10" s="32"/>
      <c r="S10" s="32"/>
      <c r="T10" s="53"/>
      <c r="U10" s="21" t="str">
        <f>IFERROR(VLOOKUP(April[[#This Row],[Drug Name2]],'Data Options'!$R$1:$S$100,2,FALSE), " ")</f>
        <v xml:space="preserve"> </v>
      </c>
      <c r="V10" s="32"/>
      <c r="W10" s="32"/>
      <c r="X10" s="53"/>
      <c r="Y10" s="21" t="str">
        <f>IFERROR(VLOOKUP(April[[#This Row],[Drug Name3]],'Data Options'!$R$1:$S$100,2,FALSE), " ")</f>
        <v xml:space="preserve"> </v>
      </c>
      <c r="Z10" s="32"/>
      <c r="AA10" s="32"/>
      <c r="AB10" s="32"/>
      <c r="AC10" s="32"/>
      <c r="AD10" s="32"/>
      <c r="AE10" s="31"/>
      <c r="AF10" s="31"/>
      <c r="AG10" s="53"/>
      <c r="AH10" s="21" t="str">
        <f>IFERROR(VLOOKUP(April[[#This Row],[Drug Name4]],'Data Options'!$R$1:$S$100,2,FALSE), " ")</f>
        <v xml:space="preserve"> </v>
      </c>
      <c r="AI10" s="32"/>
      <c r="AJ10" s="32"/>
      <c r="AK10" s="53"/>
      <c r="AL10" s="21" t="str">
        <f>IFERROR(VLOOKUP(April[[#This Row],[Drug Name5]],'Data Options'!$R$1:$S$100,2,FALSE), " ")</f>
        <v xml:space="preserve"> </v>
      </c>
      <c r="AM10" s="32"/>
      <c r="AN10" s="32"/>
      <c r="AO10" s="53"/>
      <c r="AP10" s="21" t="str">
        <f>IFERROR(VLOOKUP(April[[#This Row],[Drug Name6]],'Data Options'!$R$1:$S$100,2,FALSE), " ")</f>
        <v xml:space="preserve"> </v>
      </c>
      <c r="AQ10" s="32"/>
      <c r="AR10" s="32"/>
      <c r="AS10" s="32"/>
      <c r="AT10" s="32"/>
      <c r="AU10" s="32"/>
      <c r="AV10" s="31"/>
      <c r="AW10" s="31"/>
      <c r="AX10" s="53"/>
      <c r="AY10" s="21" t="str">
        <f>IFERROR(VLOOKUP(April[[#This Row],[Drug Name7]],'Data Options'!$R$1:$S$100,2,FALSE), " ")</f>
        <v xml:space="preserve"> </v>
      </c>
      <c r="AZ10" s="32"/>
      <c r="BA10" s="32"/>
      <c r="BB10" s="53"/>
      <c r="BC10" s="21" t="str">
        <f>IFERROR(VLOOKUP(April[[#This Row],[Drug Name8]],'Data Options'!$R$1:$S$100,2,FALSE), " ")</f>
        <v xml:space="preserve"> </v>
      </c>
      <c r="BD10" s="32"/>
      <c r="BE10" s="32"/>
      <c r="BF10" s="53"/>
      <c r="BG10" s="21" t="str">
        <f>IFERROR(VLOOKUP(April[[#This Row],[Drug Name9]],'Data Options'!$R$1:$S$100,2,FALSE), " ")</f>
        <v xml:space="preserve"> </v>
      </c>
      <c r="BH10" s="32"/>
      <c r="BI10" s="32"/>
    </row>
    <row r="11" spans="1:61" ht="77.5">
      <c r="A11" s="51">
        <v>43929</v>
      </c>
      <c r="B11" s="52" t="s">
        <v>294</v>
      </c>
      <c r="C11" s="32">
        <v>20038</v>
      </c>
      <c r="D11" s="32" t="s">
        <v>12</v>
      </c>
      <c r="E11" s="32" t="s">
        <v>15</v>
      </c>
      <c r="F11" s="32" t="s">
        <v>220</v>
      </c>
      <c r="G11" s="32" t="s">
        <v>20</v>
      </c>
      <c r="H11" s="32"/>
      <c r="I11" s="32" t="s">
        <v>22</v>
      </c>
      <c r="J11" s="32">
        <v>3</v>
      </c>
      <c r="K11" s="32" t="s">
        <v>278</v>
      </c>
      <c r="L11" s="32"/>
      <c r="M11" s="32">
        <v>2</v>
      </c>
      <c r="N11" s="31" t="s">
        <v>22</v>
      </c>
      <c r="O11" s="31" t="s">
        <v>22</v>
      </c>
      <c r="P11" s="53" t="s">
        <v>239</v>
      </c>
      <c r="Q11" s="21" t="str">
        <f>IFERROR(VLOOKUP(April[[#This Row],[Drug Name]],'Data Options'!$R$1:$S$100,2,FALSE), " ")</f>
        <v>B-lactam/B-lactamase inhibitor combination</v>
      </c>
      <c r="R11" s="32" t="s">
        <v>92</v>
      </c>
      <c r="S11" s="32" t="s">
        <v>96</v>
      </c>
      <c r="T11" s="53" t="s">
        <v>130</v>
      </c>
      <c r="U11" s="21" t="str">
        <f>IFERROR(VLOOKUP(April[[#This Row],[Drug Name2]],'Data Options'!$R$1:$S$100,2,FALSE), " ")</f>
        <v>Fluoroquinolones</v>
      </c>
      <c r="V11" s="32" t="s">
        <v>92</v>
      </c>
      <c r="W11" s="32" t="s">
        <v>89</v>
      </c>
      <c r="X11" s="53"/>
      <c r="Y11" s="21" t="str">
        <f>IFERROR(VLOOKUP(April[[#This Row],[Drug Name3]],'Data Options'!$R$1:$S$100,2,FALSE), " ")</f>
        <v xml:space="preserve"> </v>
      </c>
      <c r="Z11" s="32"/>
      <c r="AA11" s="32"/>
      <c r="AB11" s="32" t="s">
        <v>291</v>
      </c>
      <c r="AC11" s="32"/>
      <c r="AD11" s="32">
        <v>1</v>
      </c>
      <c r="AE11" s="31" t="s">
        <v>22</v>
      </c>
      <c r="AF11" s="31" t="s">
        <v>22</v>
      </c>
      <c r="AG11" s="53" t="s">
        <v>309</v>
      </c>
      <c r="AH11" s="21" t="str">
        <f>IFERROR(VLOOKUP(April[[#This Row],[Drug Name4]],'Data Options'!$R$1:$S$100,2,FALSE), " ")</f>
        <v>Otic</v>
      </c>
      <c r="AI11" s="32" t="s">
        <v>92</v>
      </c>
      <c r="AJ11" s="32" t="s">
        <v>98</v>
      </c>
      <c r="AK11" s="53"/>
      <c r="AL11" s="21" t="str">
        <f>IFERROR(VLOOKUP(April[[#This Row],[Drug Name5]],'Data Options'!$R$1:$S$100,2,FALSE), " ")</f>
        <v xml:space="preserve"> </v>
      </c>
      <c r="AM11" s="32"/>
      <c r="AN11" s="32"/>
      <c r="AO11" s="53"/>
      <c r="AP11" s="21" t="str">
        <f>IFERROR(VLOOKUP(April[[#This Row],[Drug Name6]],'Data Options'!$R$1:$S$100,2,FALSE), " ")</f>
        <v xml:space="preserve"> </v>
      </c>
      <c r="AQ11" s="32"/>
      <c r="AR11" s="32"/>
      <c r="AS11" s="32"/>
      <c r="AT11" s="32"/>
      <c r="AU11" s="32"/>
      <c r="AV11" s="31"/>
      <c r="AW11" s="31"/>
      <c r="AX11" s="53"/>
      <c r="AY11" s="21" t="str">
        <f>IFERROR(VLOOKUP(April[[#This Row],[Drug Name7]],'Data Options'!$R$1:$S$100,2,FALSE), " ")</f>
        <v xml:space="preserve"> </v>
      </c>
      <c r="AZ11" s="32"/>
      <c r="BA11" s="32"/>
      <c r="BB11" s="53"/>
      <c r="BC11" s="21" t="str">
        <f>IFERROR(VLOOKUP(April[[#This Row],[Drug Name8]],'Data Options'!$R$1:$S$100,2,FALSE), " ")</f>
        <v xml:space="preserve"> </v>
      </c>
      <c r="BD11" s="32"/>
      <c r="BE11" s="32"/>
      <c r="BF11" s="53"/>
      <c r="BG11" s="21" t="str">
        <f>IFERROR(VLOOKUP(April[[#This Row],[Drug Name9]],'Data Options'!$R$1:$S$100,2,FALSE), " ")</f>
        <v xml:space="preserve"> </v>
      </c>
      <c r="BH11" s="32"/>
      <c r="BI11" s="32"/>
    </row>
    <row r="12" spans="1:61">
      <c r="A12" s="51">
        <v>43930</v>
      </c>
      <c r="B12" s="52" t="s">
        <v>294</v>
      </c>
      <c r="C12" s="32">
        <v>20039</v>
      </c>
      <c r="D12" s="32" t="s">
        <v>12</v>
      </c>
      <c r="E12" s="32" t="s">
        <v>17</v>
      </c>
      <c r="F12" s="32" t="s">
        <v>219</v>
      </c>
      <c r="G12" s="32" t="s">
        <v>18</v>
      </c>
      <c r="H12" s="32"/>
      <c r="I12" s="32" t="s">
        <v>23</v>
      </c>
      <c r="J12" s="32">
        <v>0</v>
      </c>
      <c r="K12" s="32" t="s">
        <v>100</v>
      </c>
      <c r="L12" s="32"/>
      <c r="M12" s="32"/>
      <c r="N12" s="31"/>
      <c r="O12" s="31"/>
      <c r="P12" s="53"/>
      <c r="Q12" s="21" t="str">
        <f>IFERROR(VLOOKUP(April[[#This Row],[Drug Name]],'Data Options'!$R$1:$S$100,2,FALSE), " ")</f>
        <v xml:space="preserve"> </v>
      </c>
      <c r="R12" s="32"/>
      <c r="S12" s="32"/>
      <c r="T12" s="53"/>
      <c r="U12" s="21" t="str">
        <f>IFERROR(VLOOKUP(April[[#This Row],[Drug Name2]],'Data Options'!$R$1:$S$100,2,FALSE), " ")</f>
        <v xml:space="preserve"> </v>
      </c>
      <c r="V12" s="32"/>
      <c r="W12" s="32"/>
      <c r="X12" s="53"/>
      <c r="Y12" s="21" t="str">
        <f>IFERROR(VLOOKUP(April[[#This Row],[Drug Name3]],'Data Options'!$R$1:$S$100,2,FALSE), " ")</f>
        <v xml:space="preserve"> </v>
      </c>
      <c r="Z12" s="32"/>
      <c r="AA12" s="32"/>
      <c r="AB12" s="32"/>
      <c r="AC12" s="32"/>
      <c r="AD12" s="32"/>
      <c r="AE12" s="31"/>
      <c r="AF12" s="31"/>
      <c r="AG12" s="53"/>
      <c r="AH12" s="21" t="str">
        <f>IFERROR(VLOOKUP(April[[#This Row],[Drug Name4]],'Data Options'!$R$1:$S$100,2,FALSE), " ")</f>
        <v xml:space="preserve"> </v>
      </c>
      <c r="AI12" s="32"/>
      <c r="AJ12" s="32"/>
      <c r="AK12" s="53"/>
      <c r="AL12" s="21" t="str">
        <f>IFERROR(VLOOKUP(April[[#This Row],[Drug Name5]],'Data Options'!$R$1:$S$100,2,FALSE), " ")</f>
        <v xml:space="preserve"> </v>
      </c>
      <c r="AM12" s="32"/>
      <c r="AN12" s="32"/>
      <c r="AO12" s="53"/>
      <c r="AP12" s="21" t="str">
        <f>IFERROR(VLOOKUP(April[[#This Row],[Drug Name6]],'Data Options'!$R$1:$S$100,2,FALSE), " ")</f>
        <v xml:space="preserve"> </v>
      </c>
      <c r="AQ12" s="32"/>
      <c r="AR12" s="32"/>
      <c r="AS12" s="32"/>
      <c r="AT12" s="32"/>
      <c r="AU12" s="32"/>
      <c r="AV12" s="31"/>
      <c r="AW12" s="31"/>
      <c r="AX12" s="53"/>
      <c r="AY12" s="21" t="str">
        <f>IFERROR(VLOOKUP(April[[#This Row],[Drug Name7]],'Data Options'!$R$1:$S$100,2,FALSE), " ")</f>
        <v xml:space="preserve"> </v>
      </c>
      <c r="AZ12" s="32"/>
      <c r="BA12" s="32"/>
      <c r="BB12" s="53"/>
      <c r="BC12" s="21" t="str">
        <f>IFERROR(VLOOKUP(April[[#This Row],[Drug Name8]],'Data Options'!$R$1:$S$100,2,FALSE), " ")</f>
        <v xml:space="preserve"> </v>
      </c>
      <c r="BD12" s="32"/>
      <c r="BE12" s="32"/>
      <c r="BF12" s="53"/>
      <c r="BG12" s="21" t="str">
        <f>IFERROR(VLOOKUP(April[[#This Row],[Drug Name9]],'Data Options'!$R$1:$S$100,2,FALSE), " ")</f>
        <v xml:space="preserve"> </v>
      </c>
      <c r="BH12" s="32"/>
      <c r="BI12" s="32"/>
    </row>
    <row r="13" spans="1:61">
      <c r="A13" s="51">
        <v>43931</v>
      </c>
      <c r="B13" s="52" t="s">
        <v>294</v>
      </c>
      <c r="C13" s="32">
        <v>20040</v>
      </c>
      <c r="D13" s="32" t="s">
        <v>12</v>
      </c>
      <c r="E13" s="32" t="s">
        <v>15</v>
      </c>
      <c r="F13" s="32" t="s">
        <v>123</v>
      </c>
      <c r="G13" s="32" t="s">
        <v>19</v>
      </c>
      <c r="H13" s="32"/>
      <c r="I13" s="32" t="s">
        <v>22</v>
      </c>
      <c r="J13" s="32">
        <v>1</v>
      </c>
      <c r="K13" s="32" t="s">
        <v>102</v>
      </c>
      <c r="L13" s="32"/>
      <c r="M13" s="32">
        <v>1</v>
      </c>
      <c r="N13" s="31" t="s">
        <v>22</v>
      </c>
      <c r="O13" s="31" t="s">
        <v>22</v>
      </c>
      <c r="P13" s="53" t="s">
        <v>26</v>
      </c>
      <c r="Q13" s="21" t="str">
        <f>IFERROR(VLOOKUP(April[[#This Row],[Drug Name]],'Data Options'!$R$1:$S$100,2,FALSE), " ")</f>
        <v>Penicillins</v>
      </c>
      <c r="R13" s="32" t="s">
        <v>92</v>
      </c>
      <c r="S13" s="32" t="s">
        <v>89</v>
      </c>
      <c r="T13" s="53"/>
      <c r="U13" s="21" t="str">
        <f>IFERROR(VLOOKUP(April[[#This Row],[Drug Name2]],'Data Options'!$R$1:$S$100,2,FALSE), " ")</f>
        <v xml:space="preserve"> </v>
      </c>
      <c r="V13" s="32"/>
      <c r="W13" s="32"/>
      <c r="X13" s="53"/>
      <c r="Y13" s="21" t="str">
        <f>IFERROR(VLOOKUP(April[[#This Row],[Drug Name3]],'Data Options'!$R$1:$S$100,2,FALSE), " ")</f>
        <v xml:space="preserve"> </v>
      </c>
      <c r="Z13" s="32"/>
      <c r="AA13" s="32"/>
      <c r="AB13" s="32"/>
      <c r="AC13" s="32"/>
      <c r="AD13" s="32"/>
      <c r="AE13" s="31"/>
      <c r="AF13" s="31"/>
      <c r="AG13" s="53"/>
      <c r="AH13" s="21" t="str">
        <f>IFERROR(VLOOKUP(April[[#This Row],[Drug Name4]],'Data Options'!$R$1:$S$100,2,FALSE), " ")</f>
        <v xml:space="preserve"> </v>
      </c>
      <c r="AI13" s="32"/>
      <c r="AJ13" s="32"/>
      <c r="AK13" s="53"/>
      <c r="AL13" s="21" t="str">
        <f>IFERROR(VLOOKUP(April[[#This Row],[Drug Name5]],'Data Options'!$R$1:$S$100,2,FALSE), " ")</f>
        <v xml:space="preserve"> </v>
      </c>
      <c r="AM13" s="32"/>
      <c r="AN13" s="32"/>
      <c r="AO13" s="53"/>
      <c r="AP13" s="21" t="str">
        <f>IFERROR(VLOOKUP(April[[#This Row],[Drug Name6]],'Data Options'!$R$1:$S$100,2,FALSE), " ")</f>
        <v xml:space="preserve"> </v>
      </c>
      <c r="AQ13" s="32"/>
      <c r="AR13" s="32"/>
      <c r="AS13" s="32"/>
      <c r="AT13" s="32"/>
      <c r="AU13" s="32"/>
      <c r="AV13" s="31"/>
      <c r="AW13" s="31"/>
      <c r="AX13" s="53"/>
      <c r="AY13" s="21" t="str">
        <f>IFERROR(VLOOKUP(April[[#This Row],[Drug Name7]],'Data Options'!$R$1:$S$100,2,FALSE), " ")</f>
        <v xml:space="preserve"> </v>
      </c>
      <c r="AZ13" s="32"/>
      <c r="BA13" s="32"/>
      <c r="BB13" s="53"/>
      <c r="BC13" s="21" t="str">
        <f>IFERROR(VLOOKUP(April[[#This Row],[Drug Name8]],'Data Options'!$R$1:$S$100,2,FALSE), " ")</f>
        <v xml:space="preserve"> </v>
      </c>
      <c r="BD13" s="32"/>
      <c r="BE13" s="32"/>
      <c r="BF13" s="53"/>
      <c r="BG13" s="21" t="str">
        <f>IFERROR(VLOOKUP(April[[#This Row],[Drug Name9]],'Data Options'!$R$1:$S$100,2,FALSE), " ")</f>
        <v xml:space="preserve"> </v>
      </c>
      <c r="BH13" s="32"/>
      <c r="BI13" s="32"/>
    </row>
    <row r="14" spans="1:61">
      <c r="A14" s="5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53"/>
      <c r="Q14" s="21" t="str">
        <f>IFERROR(VLOOKUP(April[[#This Row],[Drug Name]],'Data Options'!$R$1:$S$100,2,FALSE), " ")</f>
        <v xml:space="preserve"> </v>
      </c>
      <c r="R14" s="32"/>
      <c r="S14" s="32"/>
      <c r="T14" s="53"/>
      <c r="U14" s="21" t="str">
        <f>IFERROR(VLOOKUP(April[[#This Row],[Drug Name2]],'Data Options'!$R$1:$S$100,2,FALSE), " ")</f>
        <v xml:space="preserve"> </v>
      </c>
      <c r="V14" s="32"/>
      <c r="W14" s="32"/>
      <c r="X14" s="53"/>
      <c r="Y14" s="21" t="str">
        <f>IFERROR(VLOOKUP(April[[#This Row],[Drug Name3]],'Data Options'!$R$1:$S$100,2,FALSE), " ")</f>
        <v xml:space="preserve"> </v>
      </c>
      <c r="Z14" s="32"/>
      <c r="AA14" s="32"/>
      <c r="AB14" s="32"/>
      <c r="AC14" s="32"/>
      <c r="AD14" s="32"/>
      <c r="AE14" s="31"/>
      <c r="AF14" s="31"/>
      <c r="AG14" s="53"/>
      <c r="AH14" s="21" t="str">
        <f>IFERROR(VLOOKUP(April[[#This Row],[Drug Name4]],'Data Options'!$R$1:$S$100,2,FALSE), " ")</f>
        <v xml:space="preserve"> </v>
      </c>
      <c r="AI14" s="32"/>
      <c r="AJ14" s="32"/>
      <c r="AK14" s="53"/>
      <c r="AL14" s="21" t="str">
        <f>IFERROR(VLOOKUP(April[[#This Row],[Drug Name5]],'Data Options'!$R$1:$S$100,2,FALSE), " ")</f>
        <v xml:space="preserve"> </v>
      </c>
      <c r="AM14" s="32"/>
      <c r="AN14" s="32"/>
      <c r="AO14" s="53"/>
      <c r="AP14" s="21" t="str">
        <f>IFERROR(VLOOKUP(April[[#This Row],[Drug Name6]],'Data Options'!$R$1:$S$100,2,FALSE), " ")</f>
        <v xml:space="preserve"> </v>
      </c>
      <c r="AQ14" s="32"/>
      <c r="AR14" s="32"/>
      <c r="AS14" s="32"/>
      <c r="AT14" s="32"/>
      <c r="AU14" s="32"/>
      <c r="AV14" s="31"/>
      <c r="AW14" s="31"/>
      <c r="AX14" s="53"/>
      <c r="AY14" s="21" t="str">
        <f>IFERROR(VLOOKUP(April[[#This Row],[Drug Name7]],'Data Options'!$R$1:$S$100,2,FALSE), " ")</f>
        <v xml:space="preserve"> </v>
      </c>
      <c r="AZ14" s="32"/>
      <c r="BA14" s="32"/>
      <c r="BB14" s="53"/>
      <c r="BC14" s="21" t="str">
        <f>IFERROR(VLOOKUP(April[[#This Row],[Drug Name8]],'Data Options'!$R$1:$S$100,2,FALSE), " ")</f>
        <v xml:space="preserve"> </v>
      </c>
      <c r="BD14" s="32"/>
      <c r="BE14" s="32"/>
      <c r="BF14" s="53"/>
      <c r="BG14" s="21" t="str">
        <f>IFERROR(VLOOKUP(April[[#This Row],[Drug Name9]],'Data Options'!$R$1:$S$100,2,FALSE), " ")</f>
        <v xml:space="preserve"> </v>
      </c>
      <c r="BH14" s="32"/>
      <c r="BI14" s="32"/>
    </row>
    <row r="15" spans="1:61">
      <c r="A15" s="5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1"/>
      <c r="O15" s="31"/>
      <c r="P15" s="53"/>
      <c r="Q15" s="21" t="str">
        <f>IFERROR(VLOOKUP(April[[#This Row],[Drug Name]],'Data Options'!$R$1:$S$100,2,FALSE), " ")</f>
        <v xml:space="preserve"> </v>
      </c>
      <c r="R15" s="32"/>
      <c r="S15" s="32"/>
      <c r="T15" s="53"/>
      <c r="U15" s="21" t="str">
        <f>IFERROR(VLOOKUP(April[[#This Row],[Drug Name2]],'Data Options'!$R$1:$S$100,2,FALSE), " ")</f>
        <v xml:space="preserve"> </v>
      </c>
      <c r="V15" s="32"/>
      <c r="W15" s="32"/>
      <c r="X15" s="53"/>
      <c r="Y15" s="21" t="str">
        <f>IFERROR(VLOOKUP(April[[#This Row],[Drug Name3]],'Data Options'!$R$1:$S$100,2,FALSE), " ")</f>
        <v xml:space="preserve"> </v>
      </c>
      <c r="Z15" s="32"/>
      <c r="AA15" s="32"/>
      <c r="AB15" s="32"/>
      <c r="AC15" s="32"/>
      <c r="AD15" s="32"/>
      <c r="AE15" s="31"/>
      <c r="AF15" s="31"/>
      <c r="AG15" s="53"/>
      <c r="AH15" s="21" t="str">
        <f>IFERROR(VLOOKUP(April[[#This Row],[Drug Name4]],'Data Options'!$R$1:$S$100,2,FALSE), " ")</f>
        <v xml:space="preserve"> </v>
      </c>
      <c r="AI15" s="32"/>
      <c r="AJ15" s="32"/>
      <c r="AK15" s="53"/>
      <c r="AL15" s="21" t="str">
        <f>IFERROR(VLOOKUP(April[[#This Row],[Drug Name5]],'Data Options'!$R$1:$S$100,2,FALSE), " ")</f>
        <v xml:space="preserve"> </v>
      </c>
      <c r="AM15" s="32"/>
      <c r="AN15" s="32"/>
      <c r="AO15" s="53"/>
      <c r="AP15" s="21" t="str">
        <f>IFERROR(VLOOKUP(April[[#This Row],[Drug Name6]],'Data Options'!$R$1:$S$100,2,FALSE), " ")</f>
        <v xml:space="preserve"> </v>
      </c>
      <c r="AQ15" s="32"/>
      <c r="AR15" s="32"/>
      <c r="AS15" s="32"/>
      <c r="AT15" s="32"/>
      <c r="AU15" s="32"/>
      <c r="AV15" s="31"/>
      <c r="AW15" s="31"/>
      <c r="AX15" s="53"/>
      <c r="AY15" s="21" t="str">
        <f>IFERROR(VLOOKUP(April[[#This Row],[Drug Name7]],'Data Options'!$R$1:$S$100,2,FALSE), " ")</f>
        <v xml:space="preserve"> </v>
      </c>
      <c r="AZ15" s="32"/>
      <c r="BA15" s="32"/>
      <c r="BB15" s="53"/>
      <c r="BC15" s="21" t="str">
        <f>IFERROR(VLOOKUP(April[[#This Row],[Drug Name8]],'Data Options'!$R$1:$S$100,2,FALSE), " ")</f>
        <v xml:space="preserve"> </v>
      </c>
      <c r="BD15" s="32"/>
      <c r="BE15" s="32"/>
      <c r="BF15" s="53"/>
      <c r="BG15" s="21" t="str">
        <f>IFERROR(VLOOKUP(April[[#This Row],[Drug Name9]],'Data Options'!$R$1:$S$100,2,FALSE), " ")</f>
        <v xml:space="preserve"> </v>
      </c>
      <c r="BH15" s="32"/>
      <c r="BI15" s="32"/>
    </row>
    <row r="16" spans="1:61">
      <c r="A16" s="5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1"/>
      <c r="O16" s="31"/>
      <c r="P16" s="53"/>
      <c r="Q16" s="21" t="str">
        <f>IFERROR(VLOOKUP(April[[#This Row],[Drug Name]],'Data Options'!$R$1:$S$100,2,FALSE), " ")</f>
        <v xml:space="preserve"> </v>
      </c>
      <c r="R16" s="32"/>
      <c r="S16" s="32"/>
      <c r="T16" s="53"/>
      <c r="U16" s="21" t="str">
        <f>IFERROR(VLOOKUP(April[[#This Row],[Drug Name2]],'Data Options'!$R$1:$S$100,2,FALSE), " ")</f>
        <v xml:space="preserve"> </v>
      </c>
      <c r="V16" s="32"/>
      <c r="W16" s="32"/>
      <c r="X16" s="53"/>
      <c r="Y16" s="21" t="str">
        <f>IFERROR(VLOOKUP(April[[#This Row],[Drug Name3]],'Data Options'!$R$1:$S$100,2,FALSE), " ")</f>
        <v xml:space="preserve"> </v>
      </c>
      <c r="Z16" s="32"/>
      <c r="AA16" s="32"/>
      <c r="AB16" s="32"/>
      <c r="AC16" s="32"/>
      <c r="AD16" s="32"/>
      <c r="AE16" s="31"/>
      <c r="AF16" s="31"/>
      <c r="AG16" s="53"/>
      <c r="AH16" s="21" t="str">
        <f>IFERROR(VLOOKUP(April[[#This Row],[Drug Name4]],'Data Options'!$R$1:$S$100,2,FALSE), " ")</f>
        <v xml:space="preserve"> </v>
      </c>
      <c r="AI16" s="32"/>
      <c r="AJ16" s="32"/>
      <c r="AK16" s="53"/>
      <c r="AL16" s="21" t="str">
        <f>IFERROR(VLOOKUP(April[[#This Row],[Drug Name5]],'Data Options'!$R$1:$S$100,2,FALSE), " ")</f>
        <v xml:space="preserve"> </v>
      </c>
      <c r="AM16" s="32"/>
      <c r="AN16" s="32"/>
      <c r="AO16" s="53"/>
      <c r="AP16" s="21" t="str">
        <f>IFERROR(VLOOKUP(April[[#This Row],[Drug Name6]],'Data Options'!$R$1:$S$100,2,FALSE), " ")</f>
        <v xml:space="preserve"> </v>
      </c>
      <c r="AQ16" s="32"/>
      <c r="AR16" s="32"/>
      <c r="AS16" s="32"/>
      <c r="AT16" s="32"/>
      <c r="AU16" s="32"/>
      <c r="AV16" s="31"/>
      <c r="AW16" s="31"/>
      <c r="AX16" s="53"/>
      <c r="AY16" s="21" t="str">
        <f>IFERROR(VLOOKUP(April[[#This Row],[Drug Name7]],'Data Options'!$R$1:$S$100,2,FALSE), " ")</f>
        <v xml:space="preserve"> </v>
      </c>
      <c r="AZ16" s="32"/>
      <c r="BA16" s="32"/>
      <c r="BB16" s="53"/>
      <c r="BC16" s="21" t="str">
        <f>IFERROR(VLOOKUP(April[[#This Row],[Drug Name8]],'Data Options'!$R$1:$S$100,2,FALSE), " ")</f>
        <v xml:space="preserve"> </v>
      </c>
      <c r="BD16" s="32"/>
      <c r="BE16" s="32"/>
      <c r="BF16" s="53"/>
      <c r="BG16" s="21" t="str">
        <f>IFERROR(VLOOKUP(April[[#This Row],[Drug Name9]],'Data Options'!$R$1:$S$100,2,FALSE), " ")</f>
        <v xml:space="preserve"> </v>
      </c>
      <c r="BH16" s="32"/>
      <c r="BI16" s="32"/>
    </row>
    <row r="17" spans="1:61">
      <c r="A17" s="5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/>
      <c r="O17" s="31"/>
      <c r="P17" s="53"/>
      <c r="Q17" s="21" t="str">
        <f>IFERROR(VLOOKUP(April[[#This Row],[Drug Name]],'Data Options'!$R$1:$S$100,2,FALSE), " ")</f>
        <v xml:space="preserve"> </v>
      </c>
      <c r="R17" s="32"/>
      <c r="S17" s="32"/>
      <c r="T17" s="53"/>
      <c r="U17" s="21" t="str">
        <f>IFERROR(VLOOKUP(April[[#This Row],[Drug Name2]],'Data Options'!$R$1:$S$100,2,FALSE), " ")</f>
        <v xml:space="preserve"> </v>
      </c>
      <c r="V17" s="32"/>
      <c r="W17" s="32"/>
      <c r="X17" s="53"/>
      <c r="Y17" s="21" t="str">
        <f>IFERROR(VLOOKUP(April[[#This Row],[Drug Name3]],'Data Options'!$R$1:$S$100,2,FALSE), " ")</f>
        <v xml:space="preserve"> </v>
      </c>
      <c r="Z17" s="32"/>
      <c r="AA17" s="32"/>
      <c r="AB17" s="32"/>
      <c r="AC17" s="32"/>
      <c r="AD17" s="32"/>
      <c r="AE17" s="31"/>
      <c r="AF17" s="31"/>
      <c r="AG17" s="53"/>
      <c r="AH17" s="21" t="str">
        <f>IFERROR(VLOOKUP(April[[#This Row],[Drug Name4]],'Data Options'!$R$1:$S$100,2,FALSE), " ")</f>
        <v xml:space="preserve"> </v>
      </c>
      <c r="AI17" s="32"/>
      <c r="AJ17" s="32"/>
      <c r="AK17" s="53"/>
      <c r="AL17" s="21" t="str">
        <f>IFERROR(VLOOKUP(April[[#This Row],[Drug Name5]],'Data Options'!$R$1:$S$100,2,FALSE), " ")</f>
        <v xml:space="preserve"> </v>
      </c>
      <c r="AM17" s="32"/>
      <c r="AN17" s="32"/>
      <c r="AO17" s="53"/>
      <c r="AP17" s="21" t="str">
        <f>IFERROR(VLOOKUP(April[[#This Row],[Drug Name6]],'Data Options'!$R$1:$S$100,2,FALSE), " ")</f>
        <v xml:space="preserve"> </v>
      </c>
      <c r="AQ17" s="32"/>
      <c r="AR17" s="32"/>
      <c r="AS17" s="32"/>
      <c r="AT17" s="32"/>
      <c r="AU17" s="32"/>
      <c r="AV17" s="31"/>
      <c r="AW17" s="31"/>
      <c r="AX17" s="53"/>
      <c r="AY17" s="21" t="str">
        <f>IFERROR(VLOOKUP(April[[#This Row],[Drug Name7]],'Data Options'!$R$1:$S$100,2,FALSE), " ")</f>
        <v xml:space="preserve"> </v>
      </c>
      <c r="AZ17" s="32"/>
      <c r="BA17" s="32"/>
      <c r="BB17" s="53"/>
      <c r="BC17" s="21" t="str">
        <f>IFERROR(VLOOKUP(April[[#This Row],[Drug Name8]],'Data Options'!$R$1:$S$100,2,FALSE), " ")</f>
        <v xml:space="preserve"> </v>
      </c>
      <c r="BD17" s="32"/>
      <c r="BE17" s="32"/>
      <c r="BF17" s="53"/>
      <c r="BG17" s="21" t="str">
        <f>IFERROR(VLOOKUP(April[[#This Row],[Drug Name9]],'Data Options'!$R$1:$S$100,2,FALSE), " ")</f>
        <v xml:space="preserve"> </v>
      </c>
      <c r="BH17" s="32"/>
      <c r="BI17" s="32"/>
    </row>
    <row r="18" spans="1:61">
      <c r="A18" s="5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1"/>
      <c r="O18" s="31"/>
      <c r="P18" s="53"/>
      <c r="Q18" s="21" t="str">
        <f>IFERROR(VLOOKUP(April[[#This Row],[Drug Name]],'Data Options'!$R$1:$S$100,2,FALSE), " ")</f>
        <v xml:space="preserve"> </v>
      </c>
      <c r="R18" s="32"/>
      <c r="S18" s="32"/>
      <c r="T18" s="53"/>
      <c r="U18" s="21" t="str">
        <f>IFERROR(VLOOKUP(April[[#This Row],[Drug Name2]],'Data Options'!$R$1:$S$100,2,FALSE), " ")</f>
        <v xml:space="preserve"> </v>
      </c>
      <c r="V18" s="32"/>
      <c r="W18" s="32"/>
      <c r="X18" s="53"/>
      <c r="Y18" s="21" t="str">
        <f>IFERROR(VLOOKUP(April[[#This Row],[Drug Name3]],'Data Options'!$R$1:$S$100,2,FALSE), " ")</f>
        <v xml:space="preserve"> </v>
      </c>
      <c r="Z18" s="32"/>
      <c r="AA18" s="32"/>
      <c r="AB18" s="32"/>
      <c r="AC18" s="32"/>
      <c r="AD18" s="32"/>
      <c r="AE18" s="31"/>
      <c r="AF18" s="31"/>
      <c r="AG18" s="53"/>
      <c r="AH18" s="21" t="str">
        <f>IFERROR(VLOOKUP(April[[#This Row],[Drug Name4]],'Data Options'!$R$1:$S$100,2,FALSE), " ")</f>
        <v xml:space="preserve"> </v>
      </c>
      <c r="AI18" s="32"/>
      <c r="AJ18" s="32"/>
      <c r="AK18" s="53"/>
      <c r="AL18" s="21" t="str">
        <f>IFERROR(VLOOKUP(April[[#This Row],[Drug Name5]],'Data Options'!$R$1:$S$100,2,FALSE), " ")</f>
        <v xml:space="preserve"> </v>
      </c>
      <c r="AM18" s="32"/>
      <c r="AN18" s="32"/>
      <c r="AO18" s="53"/>
      <c r="AP18" s="21" t="str">
        <f>IFERROR(VLOOKUP(April[[#This Row],[Drug Name6]],'Data Options'!$R$1:$S$100,2,FALSE), " ")</f>
        <v xml:space="preserve"> </v>
      </c>
      <c r="AQ18" s="32"/>
      <c r="AR18" s="32"/>
      <c r="AS18" s="32"/>
      <c r="AT18" s="32"/>
      <c r="AU18" s="32"/>
      <c r="AV18" s="31"/>
      <c r="AW18" s="31"/>
      <c r="AX18" s="53"/>
      <c r="AY18" s="21" t="str">
        <f>IFERROR(VLOOKUP(April[[#This Row],[Drug Name7]],'Data Options'!$R$1:$S$100,2,FALSE), " ")</f>
        <v xml:space="preserve"> </v>
      </c>
      <c r="AZ18" s="32"/>
      <c r="BA18" s="32"/>
      <c r="BB18" s="53"/>
      <c r="BC18" s="21" t="str">
        <f>IFERROR(VLOOKUP(April[[#This Row],[Drug Name8]],'Data Options'!$R$1:$S$100,2,FALSE), " ")</f>
        <v xml:space="preserve"> </v>
      </c>
      <c r="BD18" s="32"/>
      <c r="BE18" s="32"/>
      <c r="BF18" s="53"/>
      <c r="BG18" s="21" t="str">
        <f>IFERROR(VLOOKUP(April[[#This Row],[Drug Name9]],'Data Options'!$R$1:$S$100,2,FALSE), " ")</f>
        <v xml:space="preserve"> </v>
      </c>
      <c r="BH18" s="32"/>
      <c r="BI18" s="32"/>
    </row>
    <row r="19" spans="1:61">
      <c r="A19" s="5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53"/>
      <c r="Q19" s="21" t="str">
        <f>IFERROR(VLOOKUP(April[[#This Row],[Drug Name]],'Data Options'!$R$1:$S$100,2,FALSE), " ")</f>
        <v xml:space="preserve"> </v>
      </c>
      <c r="R19" s="32"/>
      <c r="S19" s="32"/>
      <c r="T19" s="53"/>
      <c r="U19" s="21" t="str">
        <f>IFERROR(VLOOKUP(April[[#This Row],[Drug Name2]],'Data Options'!$R$1:$S$100,2,FALSE), " ")</f>
        <v xml:space="preserve"> </v>
      </c>
      <c r="V19" s="32"/>
      <c r="W19" s="32"/>
      <c r="X19" s="53"/>
      <c r="Y19" s="21" t="str">
        <f>IFERROR(VLOOKUP(April[[#This Row],[Drug Name3]],'Data Options'!$R$1:$S$100,2,FALSE), " ")</f>
        <v xml:space="preserve"> </v>
      </c>
      <c r="Z19" s="32"/>
      <c r="AA19" s="32"/>
      <c r="AB19" s="32"/>
      <c r="AC19" s="32"/>
      <c r="AD19" s="32"/>
      <c r="AE19" s="31"/>
      <c r="AF19" s="31"/>
      <c r="AG19" s="53"/>
      <c r="AH19" s="21" t="str">
        <f>IFERROR(VLOOKUP(April[[#This Row],[Drug Name4]],'Data Options'!$R$1:$S$100,2,FALSE), " ")</f>
        <v xml:space="preserve"> </v>
      </c>
      <c r="AI19" s="32"/>
      <c r="AJ19" s="32"/>
      <c r="AK19" s="53"/>
      <c r="AL19" s="21" t="str">
        <f>IFERROR(VLOOKUP(April[[#This Row],[Drug Name5]],'Data Options'!$R$1:$S$100,2,FALSE), " ")</f>
        <v xml:space="preserve"> </v>
      </c>
      <c r="AM19" s="32"/>
      <c r="AN19" s="32"/>
      <c r="AO19" s="53"/>
      <c r="AP19" s="21" t="str">
        <f>IFERROR(VLOOKUP(April[[#This Row],[Drug Name6]],'Data Options'!$R$1:$S$100,2,FALSE), " ")</f>
        <v xml:space="preserve"> </v>
      </c>
      <c r="AQ19" s="32"/>
      <c r="AR19" s="32"/>
      <c r="AS19" s="32"/>
      <c r="AT19" s="32"/>
      <c r="AU19" s="32"/>
      <c r="AV19" s="31"/>
      <c r="AW19" s="31"/>
      <c r="AX19" s="53"/>
      <c r="AY19" s="21" t="str">
        <f>IFERROR(VLOOKUP(April[[#This Row],[Drug Name7]],'Data Options'!$R$1:$S$100,2,FALSE), " ")</f>
        <v xml:space="preserve"> </v>
      </c>
      <c r="AZ19" s="32"/>
      <c r="BA19" s="32"/>
      <c r="BB19" s="53"/>
      <c r="BC19" s="21" t="str">
        <f>IFERROR(VLOOKUP(April[[#This Row],[Drug Name8]],'Data Options'!$R$1:$S$100,2,FALSE), " ")</f>
        <v xml:space="preserve"> </v>
      </c>
      <c r="BD19" s="32"/>
      <c r="BE19" s="32"/>
      <c r="BF19" s="53"/>
      <c r="BG19" s="21" t="str">
        <f>IFERROR(VLOOKUP(April[[#This Row],[Drug Name9]],'Data Options'!$R$1:$S$100,2,FALSE), " ")</f>
        <v xml:space="preserve"> </v>
      </c>
      <c r="BH19" s="32"/>
      <c r="BI19" s="32"/>
    </row>
    <row r="20" spans="1:61">
      <c r="A20" s="5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53"/>
      <c r="Q20" s="21" t="str">
        <f>IFERROR(VLOOKUP(April[[#This Row],[Drug Name]],'Data Options'!$R$1:$S$100,2,FALSE), " ")</f>
        <v xml:space="preserve"> </v>
      </c>
      <c r="R20" s="32"/>
      <c r="S20" s="32"/>
      <c r="T20" s="53"/>
      <c r="U20" s="21" t="str">
        <f>IFERROR(VLOOKUP(April[[#This Row],[Drug Name2]],'Data Options'!$R$1:$S$100,2,FALSE), " ")</f>
        <v xml:space="preserve"> </v>
      </c>
      <c r="V20" s="32"/>
      <c r="W20" s="32"/>
      <c r="X20" s="53"/>
      <c r="Y20" s="21" t="str">
        <f>IFERROR(VLOOKUP(April[[#This Row],[Drug Name3]],'Data Options'!$R$1:$S$100,2,FALSE), " ")</f>
        <v xml:space="preserve"> </v>
      </c>
      <c r="Z20" s="32"/>
      <c r="AA20" s="32"/>
      <c r="AB20" s="32"/>
      <c r="AC20" s="32"/>
      <c r="AD20" s="32"/>
      <c r="AE20" s="31"/>
      <c r="AF20" s="31"/>
      <c r="AG20" s="53"/>
      <c r="AH20" s="21" t="str">
        <f>IFERROR(VLOOKUP(April[[#This Row],[Drug Name4]],'Data Options'!$R$1:$S$100,2,FALSE), " ")</f>
        <v xml:space="preserve"> </v>
      </c>
      <c r="AI20" s="32"/>
      <c r="AJ20" s="32"/>
      <c r="AK20" s="53"/>
      <c r="AL20" s="21" t="str">
        <f>IFERROR(VLOOKUP(April[[#This Row],[Drug Name5]],'Data Options'!$R$1:$S$100,2,FALSE), " ")</f>
        <v xml:space="preserve"> </v>
      </c>
      <c r="AM20" s="32"/>
      <c r="AN20" s="32"/>
      <c r="AO20" s="53"/>
      <c r="AP20" s="21" t="str">
        <f>IFERROR(VLOOKUP(April[[#This Row],[Drug Name6]],'Data Options'!$R$1:$S$100,2,FALSE), " ")</f>
        <v xml:space="preserve"> </v>
      </c>
      <c r="AQ20" s="32"/>
      <c r="AR20" s="32"/>
      <c r="AS20" s="32"/>
      <c r="AT20" s="32"/>
      <c r="AU20" s="32"/>
      <c r="AV20" s="31"/>
      <c r="AW20" s="31"/>
      <c r="AX20" s="53"/>
      <c r="AY20" s="21" t="str">
        <f>IFERROR(VLOOKUP(April[[#This Row],[Drug Name7]],'Data Options'!$R$1:$S$100,2,FALSE), " ")</f>
        <v xml:space="preserve"> </v>
      </c>
      <c r="AZ20" s="32"/>
      <c r="BA20" s="32"/>
      <c r="BB20" s="53"/>
      <c r="BC20" s="21" t="str">
        <f>IFERROR(VLOOKUP(April[[#This Row],[Drug Name8]],'Data Options'!$R$1:$S$100,2,FALSE), " ")</f>
        <v xml:space="preserve"> </v>
      </c>
      <c r="BD20" s="32"/>
      <c r="BE20" s="32"/>
      <c r="BF20" s="53"/>
      <c r="BG20" s="21" t="str">
        <f>IFERROR(VLOOKUP(April[[#This Row],[Drug Name9]],'Data Options'!$R$1:$S$100,2,FALSE), " ")</f>
        <v xml:space="preserve"> </v>
      </c>
      <c r="BH20" s="32"/>
      <c r="BI20" s="32"/>
    </row>
    <row r="21" spans="1:6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53"/>
      <c r="Q21" s="21" t="str">
        <f>IFERROR(VLOOKUP(April[[#This Row],[Drug Name]],'Data Options'!$R$1:$S$100,2,FALSE), " ")</f>
        <v xml:space="preserve"> </v>
      </c>
      <c r="R21" s="32"/>
      <c r="S21" s="32"/>
      <c r="T21" s="53"/>
      <c r="U21" s="21" t="str">
        <f>IFERROR(VLOOKUP(April[[#This Row],[Drug Name2]],'Data Options'!$R$1:$S$100,2,FALSE), " ")</f>
        <v xml:space="preserve"> </v>
      </c>
      <c r="V21" s="32"/>
      <c r="W21" s="32"/>
      <c r="X21" s="53"/>
      <c r="Y21" s="21" t="str">
        <f>IFERROR(VLOOKUP(April[[#This Row],[Drug Name3]],'Data Options'!$R$1:$S$100,2,FALSE), " ")</f>
        <v xml:space="preserve"> </v>
      </c>
      <c r="Z21" s="32"/>
      <c r="AA21" s="32"/>
      <c r="AB21" s="32"/>
      <c r="AC21" s="32"/>
      <c r="AD21" s="32"/>
      <c r="AE21" s="31"/>
      <c r="AF21" s="31"/>
      <c r="AG21" s="53"/>
      <c r="AH21" s="21" t="str">
        <f>IFERROR(VLOOKUP(April[[#This Row],[Drug Name4]],'Data Options'!$R$1:$S$100,2,FALSE), " ")</f>
        <v xml:space="preserve"> </v>
      </c>
      <c r="AI21" s="32"/>
      <c r="AJ21" s="32"/>
      <c r="AK21" s="53"/>
      <c r="AL21" s="21" t="str">
        <f>IFERROR(VLOOKUP(April[[#This Row],[Drug Name5]],'Data Options'!$R$1:$S$100,2,FALSE), " ")</f>
        <v xml:space="preserve"> </v>
      </c>
      <c r="AM21" s="32"/>
      <c r="AN21" s="32"/>
      <c r="AO21" s="53"/>
      <c r="AP21" s="21" t="str">
        <f>IFERROR(VLOOKUP(April[[#This Row],[Drug Name6]],'Data Options'!$R$1:$S$100,2,FALSE), " ")</f>
        <v xml:space="preserve"> </v>
      </c>
      <c r="AQ21" s="32"/>
      <c r="AR21" s="32"/>
      <c r="AS21" s="32"/>
      <c r="AT21" s="32"/>
      <c r="AU21" s="32"/>
      <c r="AV21" s="31"/>
      <c r="AW21" s="31"/>
      <c r="AX21" s="53"/>
      <c r="AY21" s="21" t="str">
        <f>IFERROR(VLOOKUP(April[[#This Row],[Drug Name7]],'Data Options'!$R$1:$S$100,2,FALSE), " ")</f>
        <v xml:space="preserve"> </v>
      </c>
      <c r="AZ21" s="32"/>
      <c r="BA21" s="32"/>
      <c r="BB21" s="53"/>
      <c r="BC21" s="21" t="str">
        <f>IFERROR(VLOOKUP(April[[#This Row],[Drug Name8]],'Data Options'!$R$1:$S$100,2,FALSE), " ")</f>
        <v xml:space="preserve"> </v>
      </c>
      <c r="BD21" s="32"/>
      <c r="BE21" s="32"/>
      <c r="BF21" s="53"/>
      <c r="BG21" s="21" t="str">
        <f>IFERROR(VLOOKUP(April[[#This Row],[Drug Name9]],'Data Options'!$R$1:$S$100,2,FALSE), " ")</f>
        <v xml:space="preserve"> </v>
      </c>
      <c r="BH21" s="32"/>
      <c r="BI21" s="32"/>
    </row>
    <row r="22" spans="1:61">
      <c r="A22" s="5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53"/>
      <c r="Q22" s="21" t="str">
        <f>IFERROR(VLOOKUP(April[[#This Row],[Drug Name]],'Data Options'!$R$1:$S$100,2,FALSE), " ")</f>
        <v xml:space="preserve"> </v>
      </c>
      <c r="R22" s="32"/>
      <c r="S22" s="32"/>
      <c r="T22" s="53"/>
      <c r="U22" s="21" t="str">
        <f>IFERROR(VLOOKUP(April[[#This Row],[Drug Name2]],'Data Options'!$R$1:$S$100,2,FALSE), " ")</f>
        <v xml:space="preserve"> </v>
      </c>
      <c r="V22" s="32"/>
      <c r="W22" s="32"/>
      <c r="X22" s="53"/>
      <c r="Y22" s="21" t="str">
        <f>IFERROR(VLOOKUP(April[[#This Row],[Drug Name3]],'Data Options'!$R$1:$S$100,2,FALSE), " ")</f>
        <v xml:space="preserve"> </v>
      </c>
      <c r="Z22" s="32"/>
      <c r="AA22" s="32"/>
      <c r="AB22" s="32"/>
      <c r="AC22" s="32"/>
      <c r="AD22" s="32"/>
      <c r="AE22" s="31"/>
      <c r="AF22" s="31"/>
      <c r="AG22" s="53"/>
      <c r="AH22" s="21" t="str">
        <f>IFERROR(VLOOKUP(April[[#This Row],[Drug Name4]],'Data Options'!$R$1:$S$100,2,FALSE), " ")</f>
        <v xml:space="preserve"> </v>
      </c>
      <c r="AI22" s="32"/>
      <c r="AJ22" s="32"/>
      <c r="AK22" s="53"/>
      <c r="AL22" s="21" t="str">
        <f>IFERROR(VLOOKUP(April[[#This Row],[Drug Name5]],'Data Options'!$R$1:$S$100,2,FALSE), " ")</f>
        <v xml:space="preserve"> </v>
      </c>
      <c r="AM22" s="32"/>
      <c r="AN22" s="32"/>
      <c r="AO22" s="53"/>
      <c r="AP22" s="21" t="str">
        <f>IFERROR(VLOOKUP(April[[#This Row],[Drug Name6]],'Data Options'!$R$1:$S$100,2,FALSE), " ")</f>
        <v xml:space="preserve"> </v>
      </c>
      <c r="AQ22" s="32"/>
      <c r="AR22" s="32"/>
      <c r="AS22" s="32"/>
      <c r="AT22" s="32"/>
      <c r="AU22" s="32"/>
      <c r="AV22" s="31"/>
      <c r="AW22" s="31"/>
      <c r="AX22" s="53"/>
      <c r="AY22" s="21" t="str">
        <f>IFERROR(VLOOKUP(April[[#This Row],[Drug Name7]],'Data Options'!$R$1:$S$100,2,FALSE), " ")</f>
        <v xml:space="preserve"> </v>
      </c>
      <c r="AZ22" s="32"/>
      <c r="BA22" s="32"/>
      <c r="BB22" s="53"/>
      <c r="BC22" s="21" t="str">
        <f>IFERROR(VLOOKUP(April[[#This Row],[Drug Name8]],'Data Options'!$R$1:$S$100,2,FALSE), " ")</f>
        <v xml:space="preserve"> </v>
      </c>
      <c r="BD22" s="32"/>
      <c r="BE22" s="32"/>
      <c r="BF22" s="53"/>
      <c r="BG22" s="21" t="str">
        <f>IFERROR(VLOOKUP(April[[#This Row],[Drug Name9]],'Data Options'!$R$1:$S$100,2,FALSE), " ")</f>
        <v xml:space="preserve"> </v>
      </c>
      <c r="BH22" s="32"/>
      <c r="BI22" s="32"/>
    </row>
    <row r="23" spans="1:61">
      <c r="A23" s="5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53"/>
      <c r="Q23" s="21" t="str">
        <f>IFERROR(VLOOKUP(April[[#This Row],[Drug Name]],'Data Options'!$R$1:$S$100,2,FALSE), " ")</f>
        <v xml:space="preserve"> </v>
      </c>
      <c r="R23" s="32"/>
      <c r="S23" s="32"/>
      <c r="T23" s="53"/>
      <c r="U23" s="21" t="str">
        <f>IFERROR(VLOOKUP(April[[#This Row],[Drug Name2]],'Data Options'!$R$1:$S$100,2,FALSE), " ")</f>
        <v xml:space="preserve"> </v>
      </c>
      <c r="V23" s="32"/>
      <c r="W23" s="32"/>
      <c r="X23" s="53"/>
      <c r="Y23" s="21" t="str">
        <f>IFERROR(VLOOKUP(April[[#This Row],[Drug Name3]],'Data Options'!$R$1:$S$100,2,FALSE), " ")</f>
        <v xml:space="preserve"> </v>
      </c>
      <c r="Z23" s="32"/>
      <c r="AA23" s="32"/>
      <c r="AB23" s="32"/>
      <c r="AC23" s="32"/>
      <c r="AD23" s="32"/>
      <c r="AE23" s="31"/>
      <c r="AF23" s="31"/>
      <c r="AG23" s="53"/>
      <c r="AH23" s="21" t="str">
        <f>IFERROR(VLOOKUP(April[[#This Row],[Drug Name4]],'Data Options'!$R$1:$S$100,2,FALSE), " ")</f>
        <v xml:space="preserve"> </v>
      </c>
      <c r="AI23" s="32"/>
      <c r="AJ23" s="32"/>
      <c r="AK23" s="53"/>
      <c r="AL23" s="21" t="str">
        <f>IFERROR(VLOOKUP(April[[#This Row],[Drug Name5]],'Data Options'!$R$1:$S$100,2,FALSE), " ")</f>
        <v xml:space="preserve"> </v>
      </c>
      <c r="AM23" s="32"/>
      <c r="AN23" s="32"/>
      <c r="AO23" s="53"/>
      <c r="AP23" s="21" t="str">
        <f>IFERROR(VLOOKUP(April[[#This Row],[Drug Name6]],'Data Options'!$R$1:$S$100,2,FALSE), " ")</f>
        <v xml:space="preserve"> </v>
      </c>
      <c r="AQ23" s="32"/>
      <c r="AR23" s="32"/>
      <c r="AS23" s="32"/>
      <c r="AT23" s="32"/>
      <c r="AU23" s="32"/>
      <c r="AV23" s="31"/>
      <c r="AW23" s="31"/>
      <c r="AX23" s="53"/>
      <c r="AY23" s="21" t="str">
        <f>IFERROR(VLOOKUP(April[[#This Row],[Drug Name7]],'Data Options'!$R$1:$S$100,2,FALSE), " ")</f>
        <v xml:space="preserve"> </v>
      </c>
      <c r="AZ23" s="32"/>
      <c r="BA23" s="32"/>
      <c r="BB23" s="53"/>
      <c r="BC23" s="21" t="str">
        <f>IFERROR(VLOOKUP(April[[#This Row],[Drug Name8]],'Data Options'!$R$1:$S$100,2,FALSE), " ")</f>
        <v xml:space="preserve"> </v>
      </c>
      <c r="BD23" s="32"/>
      <c r="BE23" s="32"/>
      <c r="BF23" s="53"/>
      <c r="BG23" s="21" t="str">
        <f>IFERROR(VLOOKUP(April[[#This Row],[Drug Name9]],'Data Options'!$R$1:$S$100,2,FALSE), " ")</f>
        <v xml:space="preserve"> </v>
      </c>
      <c r="BH23" s="32"/>
      <c r="BI23" s="32"/>
    </row>
    <row r="24" spans="1:6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1"/>
      <c r="O24" s="31"/>
      <c r="P24" s="53"/>
      <c r="Q24" s="21" t="str">
        <f>IFERROR(VLOOKUP(April[[#This Row],[Drug Name]],'Data Options'!$R$1:$S$100,2,FALSE), " ")</f>
        <v xml:space="preserve"> </v>
      </c>
      <c r="R24" s="32"/>
      <c r="S24" s="32"/>
      <c r="T24" s="53"/>
      <c r="U24" s="21" t="str">
        <f>IFERROR(VLOOKUP(April[[#This Row],[Drug Name2]],'Data Options'!$R$1:$S$100,2,FALSE), " ")</f>
        <v xml:space="preserve"> </v>
      </c>
      <c r="V24" s="32"/>
      <c r="W24" s="32"/>
      <c r="X24" s="53"/>
      <c r="Y24" s="21" t="str">
        <f>IFERROR(VLOOKUP(April[[#This Row],[Drug Name3]],'Data Options'!$R$1:$S$100,2,FALSE), " ")</f>
        <v xml:space="preserve"> </v>
      </c>
      <c r="Z24" s="32"/>
      <c r="AA24" s="32"/>
      <c r="AB24" s="32"/>
      <c r="AC24" s="32"/>
      <c r="AD24" s="32"/>
      <c r="AE24" s="31"/>
      <c r="AF24" s="31"/>
      <c r="AG24" s="53"/>
      <c r="AH24" s="21" t="str">
        <f>IFERROR(VLOOKUP(April[[#This Row],[Drug Name4]],'Data Options'!$R$1:$S$100,2,FALSE), " ")</f>
        <v xml:space="preserve"> </v>
      </c>
      <c r="AI24" s="32"/>
      <c r="AJ24" s="32"/>
      <c r="AK24" s="53"/>
      <c r="AL24" s="21" t="str">
        <f>IFERROR(VLOOKUP(April[[#This Row],[Drug Name5]],'Data Options'!$R$1:$S$100,2,FALSE), " ")</f>
        <v xml:space="preserve"> </v>
      </c>
      <c r="AM24" s="32"/>
      <c r="AN24" s="32"/>
      <c r="AO24" s="53"/>
      <c r="AP24" s="21" t="str">
        <f>IFERROR(VLOOKUP(April[[#This Row],[Drug Name6]],'Data Options'!$R$1:$S$100,2,FALSE), " ")</f>
        <v xml:space="preserve"> </v>
      </c>
      <c r="AQ24" s="32"/>
      <c r="AR24" s="32"/>
      <c r="AS24" s="32"/>
      <c r="AT24" s="32"/>
      <c r="AU24" s="32"/>
      <c r="AV24" s="31"/>
      <c r="AW24" s="31"/>
      <c r="AX24" s="53"/>
      <c r="AY24" s="21" t="str">
        <f>IFERROR(VLOOKUP(April[[#This Row],[Drug Name7]],'Data Options'!$R$1:$S$100,2,FALSE), " ")</f>
        <v xml:space="preserve"> </v>
      </c>
      <c r="AZ24" s="32"/>
      <c r="BA24" s="32"/>
      <c r="BB24" s="53"/>
      <c r="BC24" s="21" t="str">
        <f>IFERROR(VLOOKUP(April[[#This Row],[Drug Name8]],'Data Options'!$R$1:$S$100,2,FALSE), " ")</f>
        <v xml:space="preserve"> </v>
      </c>
      <c r="BD24" s="32"/>
      <c r="BE24" s="32"/>
      <c r="BF24" s="53"/>
      <c r="BG24" s="21" t="str">
        <f>IFERROR(VLOOKUP(April[[#This Row],[Drug Name9]],'Data Options'!$R$1:$S$100,2,FALSE), " ")</f>
        <v xml:space="preserve"> </v>
      </c>
      <c r="BH24" s="32"/>
      <c r="BI24" s="32"/>
    </row>
    <row r="25" spans="1:61">
      <c r="A25" s="5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53"/>
      <c r="Q25" s="21" t="str">
        <f>IFERROR(VLOOKUP(April[[#This Row],[Drug Name]],'Data Options'!$R$1:$S$100,2,FALSE), " ")</f>
        <v xml:space="preserve"> </v>
      </c>
      <c r="R25" s="32"/>
      <c r="S25" s="32"/>
      <c r="T25" s="53"/>
      <c r="U25" s="21" t="str">
        <f>IFERROR(VLOOKUP(April[[#This Row],[Drug Name2]],'Data Options'!$R$1:$S$100,2,FALSE), " ")</f>
        <v xml:space="preserve"> </v>
      </c>
      <c r="V25" s="32"/>
      <c r="W25" s="32"/>
      <c r="X25" s="53"/>
      <c r="Y25" s="21" t="str">
        <f>IFERROR(VLOOKUP(April[[#This Row],[Drug Name3]],'Data Options'!$R$1:$S$100,2,FALSE), " ")</f>
        <v xml:space="preserve"> </v>
      </c>
      <c r="Z25" s="32"/>
      <c r="AA25" s="32"/>
      <c r="AB25" s="32"/>
      <c r="AC25" s="32"/>
      <c r="AD25" s="32"/>
      <c r="AE25" s="31"/>
      <c r="AF25" s="31"/>
      <c r="AG25" s="53"/>
      <c r="AH25" s="21" t="str">
        <f>IFERROR(VLOOKUP(April[[#This Row],[Drug Name4]],'Data Options'!$R$1:$S$100,2,FALSE), " ")</f>
        <v xml:space="preserve"> </v>
      </c>
      <c r="AI25" s="32"/>
      <c r="AJ25" s="32"/>
      <c r="AK25" s="53"/>
      <c r="AL25" s="21" t="str">
        <f>IFERROR(VLOOKUP(April[[#This Row],[Drug Name5]],'Data Options'!$R$1:$S$100,2,FALSE), " ")</f>
        <v xml:space="preserve"> </v>
      </c>
      <c r="AM25" s="32"/>
      <c r="AN25" s="32"/>
      <c r="AO25" s="53"/>
      <c r="AP25" s="21" t="str">
        <f>IFERROR(VLOOKUP(April[[#This Row],[Drug Name6]],'Data Options'!$R$1:$S$100,2,FALSE), " ")</f>
        <v xml:space="preserve"> </v>
      </c>
      <c r="AQ25" s="32"/>
      <c r="AR25" s="32"/>
      <c r="AS25" s="32"/>
      <c r="AT25" s="32"/>
      <c r="AU25" s="32"/>
      <c r="AV25" s="31"/>
      <c r="AW25" s="31"/>
      <c r="AX25" s="53"/>
      <c r="AY25" s="21" t="str">
        <f>IFERROR(VLOOKUP(April[[#This Row],[Drug Name7]],'Data Options'!$R$1:$S$100,2,FALSE), " ")</f>
        <v xml:space="preserve"> </v>
      </c>
      <c r="AZ25" s="32"/>
      <c r="BA25" s="32"/>
      <c r="BB25" s="53"/>
      <c r="BC25" s="21" t="str">
        <f>IFERROR(VLOOKUP(April[[#This Row],[Drug Name8]],'Data Options'!$R$1:$S$100,2,FALSE), " ")</f>
        <v xml:space="preserve"> </v>
      </c>
      <c r="BD25" s="32"/>
      <c r="BE25" s="32"/>
      <c r="BF25" s="53"/>
      <c r="BG25" s="21" t="str">
        <f>IFERROR(VLOOKUP(April[[#This Row],[Drug Name9]],'Data Options'!$R$1:$S$100,2,FALSE), " ")</f>
        <v xml:space="preserve"> </v>
      </c>
      <c r="BH25" s="32"/>
      <c r="BI25" s="32"/>
    </row>
    <row r="26" spans="1:61">
      <c r="A26" s="5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  <c r="P26" s="53"/>
      <c r="Q26" s="21" t="str">
        <f>IFERROR(VLOOKUP(April[[#This Row],[Drug Name]],'Data Options'!$R$1:$S$100,2,FALSE), " ")</f>
        <v xml:space="preserve"> </v>
      </c>
      <c r="R26" s="32"/>
      <c r="S26" s="32"/>
      <c r="T26" s="53"/>
      <c r="U26" s="21" t="str">
        <f>IFERROR(VLOOKUP(April[[#This Row],[Drug Name2]],'Data Options'!$R$1:$S$100,2,FALSE), " ")</f>
        <v xml:space="preserve"> </v>
      </c>
      <c r="V26" s="32"/>
      <c r="W26" s="32"/>
      <c r="X26" s="53"/>
      <c r="Y26" s="21" t="str">
        <f>IFERROR(VLOOKUP(April[[#This Row],[Drug Name3]],'Data Options'!$R$1:$S$100,2,FALSE), " ")</f>
        <v xml:space="preserve"> </v>
      </c>
      <c r="Z26" s="32"/>
      <c r="AA26" s="32"/>
      <c r="AB26" s="32"/>
      <c r="AC26" s="32"/>
      <c r="AD26" s="32"/>
      <c r="AE26" s="31"/>
      <c r="AF26" s="31"/>
      <c r="AG26" s="53"/>
      <c r="AH26" s="21" t="str">
        <f>IFERROR(VLOOKUP(April[[#This Row],[Drug Name4]],'Data Options'!$R$1:$S$100,2,FALSE), " ")</f>
        <v xml:space="preserve"> </v>
      </c>
      <c r="AI26" s="32"/>
      <c r="AJ26" s="32"/>
      <c r="AK26" s="53"/>
      <c r="AL26" s="21" t="str">
        <f>IFERROR(VLOOKUP(April[[#This Row],[Drug Name5]],'Data Options'!$R$1:$S$100,2,FALSE), " ")</f>
        <v xml:space="preserve"> </v>
      </c>
      <c r="AM26" s="32"/>
      <c r="AN26" s="32"/>
      <c r="AO26" s="53"/>
      <c r="AP26" s="21" t="str">
        <f>IFERROR(VLOOKUP(April[[#This Row],[Drug Name6]],'Data Options'!$R$1:$S$100,2,FALSE), " ")</f>
        <v xml:space="preserve"> </v>
      </c>
      <c r="AQ26" s="32"/>
      <c r="AR26" s="32"/>
      <c r="AS26" s="32"/>
      <c r="AT26" s="32"/>
      <c r="AU26" s="32"/>
      <c r="AV26" s="31"/>
      <c r="AW26" s="31"/>
      <c r="AX26" s="53"/>
      <c r="AY26" s="21" t="str">
        <f>IFERROR(VLOOKUP(April[[#This Row],[Drug Name7]],'Data Options'!$R$1:$S$100,2,FALSE), " ")</f>
        <v xml:space="preserve"> </v>
      </c>
      <c r="AZ26" s="32"/>
      <c r="BA26" s="32"/>
      <c r="BB26" s="53"/>
      <c r="BC26" s="21" t="str">
        <f>IFERROR(VLOOKUP(April[[#This Row],[Drug Name8]],'Data Options'!$R$1:$S$100,2,FALSE), " ")</f>
        <v xml:space="preserve"> </v>
      </c>
      <c r="BD26" s="32"/>
      <c r="BE26" s="32"/>
      <c r="BF26" s="53"/>
      <c r="BG26" s="21" t="str">
        <f>IFERROR(VLOOKUP(April[[#This Row],[Drug Name9]],'Data Options'!$R$1:$S$100,2,FALSE), " ")</f>
        <v xml:space="preserve"> </v>
      </c>
      <c r="BH26" s="32"/>
      <c r="BI26" s="32"/>
    </row>
    <row r="27" spans="1:6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53"/>
      <c r="Q27" s="21" t="str">
        <f>IFERROR(VLOOKUP(April[[#This Row],[Drug Name]],'Data Options'!$R$1:$S$100,2,FALSE), " ")</f>
        <v xml:space="preserve"> </v>
      </c>
      <c r="R27" s="32"/>
      <c r="S27" s="32"/>
      <c r="T27" s="53"/>
      <c r="U27" s="21" t="str">
        <f>IFERROR(VLOOKUP(April[[#This Row],[Drug Name2]],'Data Options'!$R$1:$S$100,2,FALSE), " ")</f>
        <v xml:space="preserve"> </v>
      </c>
      <c r="V27" s="32"/>
      <c r="W27" s="32"/>
      <c r="X27" s="53"/>
      <c r="Y27" s="21" t="str">
        <f>IFERROR(VLOOKUP(April[[#This Row],[Drug Name3]],'Data Options'!$R$1:$S$100,2,FALSE), " ")</f>
        <v xml:space="preserve"> </v>
      </c>
      <c r="Z27" s="32"/>
      <c r="AA27" s="32"/>
      <c r="AB27" s="32"/>
      <c r="AC27" s="32"/>
      <c r="AD27" s="32"/>
      <c r="AE27" s="31"/>
      <c r="AF27" s="31"/>
      <c r="AG27" s="53"/>
      <c r="AH27" s="21" t="str">
        <f>IFERROR(VLOOKUP(April[[#This Row],[Drug Name4]],'Data Options'!$R$1:$S$100,2,FALSE), " ")</f>
        <v xml:space="preserve"> </v>
      </c>
      <c r="AI27" s="32"/>
      <c r="AJ27" s="32"/>
      <c r="AK27" s="53"/>
      <c r="AL27" s="21" t="str">
        <f>IFERROR(VLOOKUP(April[[#This Row],[Drug Name5]],'Data Options'!$R$1:$S$100,2,FALSE), " ")</f>
        <v xml:space="preserve"> </v>
      </c>
      <c r="AM27" s="32"/>
      <c r="AN27" s="32"/>
      <c r="AO27" s="53"/>
      <c r="AP27" s="21" t="str">
        <f>IFERROR(VLOOKUP(April[[#This Row],[Drug Name6]],'Data Options'!$R$1:$S$100,2,FALSE), " ")</f>
        <v xml:space="preserve"> </v>
      </c>
      <c r="AQ27" s="32"/>
      <c r="AR27" s="32"/>
      <c r="AS27" s="32"/>
      <c r="AT27" s="32"/>
      <c r="AU27" s="32"/>
      <c r="AV27" s="31"/>
      <c r="AW27" s="31"/>
      <c r="AX27" s="53"/>
      <c r="AY27" s="21" t="str">
        <f>IFERROR(VLOOKUP(April[[#This Row],[Drug Name7]],'Data Options'!$R$1:$S$100,2,FALSE), " ")</f>
        <v xml:space="preserve"> </v>
      </c>
      <c r="AZ27" s="32"/>
      <c r="BA27" s="32"/>
      <c r="BB27" s="53"/>
      <c r="BC27" s="21" t="str">
        <f>IFERROR(VLOOKUP(April[[#This Row],[Drug Name8]],'Data Options'!$R$1:$S$100,2,FALSE), " ")</f>
        <v xml:space="preserve"> </v>
      </c>
      <c r="BD27" s="32"/>
      <c r="BE27" s="32"/>
      <c r="BF27" s="53"/>
      <c r="BG27" s="21" t="str">
        <f>IFERROR(VLOOKUP(April[[#This Row],[Drug Name9]],'Data Options'!$R$1:$S$100,2,FALSE), " ")</f>
        <v xml:space="preserve"> </v>
      </c>
      <c r="BH27" s="32"/>
      <c r="BI27" s="32"/>
    </row>
    <row r="28" spans="1:61">
      <c r="A28" s="5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1"/>
      <c r="O28" s="31"/>
      <c r="P28" s="53"/>
      <c r="Q28" s="21" t="str">
        <f>IFERROR(VLOOKUP(April[[#This Row],[Drug Name]],'Data Options'!$R$1:$S$100,2,FALSE), " ")</f>
        <v xml:space="preserve"> </v>
      </c>
      <c r="R28" s="32"/>
      <c r="S28" s="32"/>
      <c r="T28" s="53"/>
      <c r="U28" s="21" t="str">
        <f>IFERROR(VLOOKUP(April[[#This Row],[Drug Name2]],'Data Options'!$R$1:$S$100,2,FALSE), " ")</f>
        <v xml:space="preserve"> </v>
      </c>
      <c r="V28" s="32"/>
      <c r="W28" s="32"/>
      <c r="X28" s="53"/>
      <c r="Y28" s="21" t="str">
        <f>IFERROR(VLOOKUP(April[[#This Row],[Drug Name3]],'Data Options'!$R$1:$S$100,2,FALSE), " ")</f>
        <v xml:space="preserve"> </v>
      </c>
      <c r="Z28" s="32"/>
      <c r="AA28" s="32"/>
      <c r="AB28" s="32"/>
      <c r="AC28" s="32"/>
      <c r="AD28" s="32"/>
      <c r="AE28" s="31"/>
      <c r="AF28" s="31"/>
      <c r="AG28" s="53"/>
      <c r="AH28" s="21" t="str">
        <f>IFERROR(VLOOKUP(April[[#This Row],[Drug Name4]],'Data Options'!$R$1:$S$100,2,FALSE), " ")</f>
        <v xml:space="preserve"> </v>
      </c>
      <c r="AI28" s="32"/>
      <c r="AJ28" s="32"/>
      <c r="AK28" s="53"/>
      <c r="AL28" s="21" t="str">
        <f>IFERROR(VLOOKUP(April[[#This Row],[Drug Name5]],'Data Options'!$R$1:$S$100,2,FALSE), " ")</f>
        <v xml:space="preserve"> </v>
      </c>
      <c r="AM28" s="32"/>
      <c r="AN28" s="32"/>
      <c r="AO28" s="53"/>
      <c r="AP28" s="21" t="str">
        <f>IFERROR(VLOOKUP(April[[#This Row],[Drug Name6]],'Data Options'!$R$1:$S$100,2,FALSE), " ")</f>
        <v xml:space="preserve"> </v>
      </c>
      <c r="AQ28" s="32"/>
      <c r="AR28" s="32"/>
      <c r="AS28" s="32"/>
      <c r="AT28" s="32"/>
      <c r="AU28" s="32"/>
      <c r="AV28" s="31"/>
      <c r="AW28" s="31"/>
      <c r="AX28" s="53"/>
      <c r="AY28" s="21" t="str">
        <f>IFERROR(VLOOKUP(April[[#This Row],[Drug Name7]],'Data Options'!$R$1:$S$100,2,FALSE), " ")</f>
        <v xml:space="preserve"> </v>
      </c>
      <c r="AZ28" s="32"/>
      <c r="BA28" s="32"/>
      <c r="BB28" s="53"/>
      <c r="BC28" s="21" t="str">
        <f>IFERROR(VLOOKUP(April[[#This Row],[Drug Name8]],'Data Options'!$R$1:$S$100,2,FALSE), " ")</f>
        <v xml:space="preserve"> </v>
      </c>
      <c r="BD28" s="32"/>
      <c r="BE28" s="32"/>
      <c r="BF28" s="53"/>
      <c r="BG28" s="21" t="str">
        <f>IFERROR(VLOOKUP(April[[#This Row],[Drug Name9]],'Data Options'!$R$1:$S$100,2,FALSE), " ")</f>
        <v xml:space="preserve"> </v>
      </c>
      <c r="BH28" s="32"/>
      <c r="BI28" s="32"/>
    </row>
    <row r="29" spans="1:61">
      <c r="A29" s="5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53"/>
      <c r="Q29" s="21" t="str">
        <f>IFERROR(VLOOKUP(April[[#This Row],[Drug Name]],'Data Options'!$R$1:$S$100,2,FALSE), " ")</f>
        <v xml:space="preserve"> </v>
      </c>
      <c r="R29" s="32"/>
      <c r="S29" s="32"/>
      <c r="T29" s="53"/>
      <c r="U29" s="21" t="str">
        <f>IFERROR(VLOOKUP(April[[#This Row],[Drug Name2]],'Data Options'!$R$1:$S$100,2,FALSE), " ")</f>
        <v xml:space="preserve"> </v>
      </c>
      <c r="V29" s="32"/>
      <c r="W29" s="32"/>
      <c r="X29" s="53"/>
      <c r="Y29" s="21" t="str">
        <f>IFERROR(VLOOKUP(April[[#This Row],[Drug Name3]],'Data Options'!$R$1:$S$100,2,FALSE), " ")</f>
        <v xml:space="preserve"> </v>
      </c>
      <c r="Z29" s="32"/>
      <c r="AA29" s="32"/>
      <c r="AB29" s="32"/>
      <c r="AC29" s="32"/>
      <c r="AD29" s="32"/>
      <c r="AE29" s="31"/>
      <c r="AF29" s="31"/>
      <c r="AG29" s="53"/>
      <c r="AH29" s="21" t="str">
        <f>IFERROR(VLOOKUP(April[[#This Row],[Drug Name4]],'Data Options'!$R$1:$S$100,2,FALSE), " ")</f>
        <v xml:space="preserve"> </v>
      </c>
      <c r="AI29" s="32"/>
      <c r="AJ29" s="32"/>
      <c r="AK29" s="53"/>
      <c r="AL29" s="21" t="str">
        <f>IFERROR(VLOOKUP(April[[#This Row],[Drug Name5]],'Data Options'!$R$1:$S$100,2,FALSE), " ")</f>
        <v xml:space="preserve"> </v>
      </c>
      <c r="AM29" s="32"/>
      <c r="AN29" s="32"/>
      <c r="AO29" s="53"/>
      <c r="AP29" s="21" t="str">
        <f>IFERROR(VLOOKUP(April[[#This Row],[Drug Name6]],'Data Options'!$R$1:$S$100,2,FALSE), " ")</f>
        <v xml:space="preserve"> </v>
      </c>
      <c r="AQ29" s="32"/>
      <c r="AR29" s="32"/>
      <c r="AS29" s="32"/>
      <c r="AT29" s="32"/>
      <c r="AU29" s="32"/>
      <c r="AV29" s="31"/>
      <c r="AW29" s="31"/>
      <c r="AX29" s="53"/>
      <c r="AY29" s="21" t="str">
        <f>IFERROR(VLOOKUP(April[[#This Row],[Drug Name7]],'Data Options'!$R$1:$S$100,2,FALSE), " ")</f>
        <v xml:space="preserve"> </v>
      </c>
      <c r="AZ29" s="32"/>
      <c r="BA29" s="32"/>
      <c r="BB29" s="53"/>
      <c r="BC29" s="21" t="str">
        <f>IFERROR(VLOOKUP(April[[#This Row],[Drug Name8]],'Data Options'!$R$1:$S$100,2,FALSE), " ")</f>
        <v xml:space="preserve"> </v>
      </c>
      <c r="BD29" s="32"/>
      <c r="BE29" s="32"/>
      <c r="BF29" s="53"/>
      <c r="BG29" s="21" t="str">
        <f>IFERROR(VLOOKUP(April[[#This Row],[Drug Name9]],'Data Options'!$R$1:$S$100,2,FALSE), " ")</f>
        <v xml:space="preserve"> </v>
      </c>
      <c r="BH29" s="32"/>
      <c r="BI29" s="32"/>
    </row>
    <row r="30" spans="1:61">
      <c r="A30" s="5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1"/>
      <c r="O30" s="31"/>
      <c r="P30" s="53"/>
      <c r="Q30" s="21" t="str">
        <f>IFERROR(VLOOKUP(April[[#This Row],[Drug Name]],'Data Options'!$R$1:$S$100,2,FALSE), " ")</f>
        <v xml:space="preserve"> </v>
      </c>
      <c r="R30" s="32"/>
      <c r="S30" s="32"/>
      <c r="T30" s="53"/>
      <c r="U30" s="21" t="str">
        <f>IFERROR(VLOOKUP(April[[#This Row],[Drug Name2]],'Data Options'!$R$1:$S$100,2,FALSE), " ")</f>
        <v xml:space="preserve"> </v>
      </c>
      <c r="V30" s="32"/>
      <c r="W30" s="32"/>
      <c r="X30" s="53"/>
      <c r="Y30" s="21" t="str">
        <f>IFERROR(VLOOKUP(April[[#This Row],[Drug Name3]],'Data Options'!$R$1:$S$100,2,FALSE), " ")</f>
        <v xml:space="preserve"> </v>
      </c>
      <c r="Z30" s="32"/>
      <c r="AA30" s="32"/>
      <c r="AB30" s="32"/>
      <c r="AC30" s="32"/>
      <c r="AD30" s="32"/>
      <c r="AE30" s="31"/>
      <c r="AF30" s="31"/>
      <c r="AG30" s="53"/>
      <c r="AH30" s="21" t="str">
        <f>IFERROR(VLOOKUP(April[[#This Row],[Drug Name4]],'Data Options'!$R$1:$S$100,2,FALSE), " ")</f>
        <v xml:space="preserve"> </v>
      </c>
      <c r="AI30" s="32"/>
      <c r="AJ30" s="32"/>
      <c r="AK30" s="53"/>
      <c r="AL30" s="21" t="str">
        <f>IFERROR(VLOOKUP(April[[#This Row],[Drug Name5]],'Data Options'!$R$1:$S$100,2,FALSE), " ")</f>
        <v xml:space="preserve"> </v>
      </c>
      <c r="AM30" s="32"/>
      <c r="AN30" s="32"/>
      <c r="AO30" s="53"/>
      <c r="AP30" s="21" t="str">
        <f>IFERROR(VLOOKUP(April[[#This Row],[Drug Name6]],'Data Options'!$R$1:$S$100,2,FALSE), " ")</f>
        <v xml:space="preserve"> </v>
      </c>
      <c r="AQ30" s="32"/>
      <c r="AR30" s="32"/>
      <c r="AS30" s="32"/>
      <c r="AT30" s="32"/>
      <c r="AU30" s="32"/>
      <c r="AV30" s="31"/>
      <c r="AW30" s="31"/>
      <c r="AX30" s="53"/>
      <c r="AY30" s="21" t="str">
        <f>IFERROR(VLOOKUP(April[[#This Row],[Drug Name7]],'Data Options'!$R$1:$S$100,2,FALSE), " ")</f>
        <v xml:space="preserve"> </v>
      </c>
      <c r="AZ30" s="32"/>
      <c r="BA30" s="32"/>
      <c r="BB30" s="53"/>
      <c r="BC30" s="21" t="str">
        <f>IFERROR(VLOOKUP(April[[#This Row],[Drug Name8]],'Data Options'!$R$1:$S$100,2,FALSE), " ")</f>
        <v xml:space="preserve"> </v>
      </c>
      <c r="BD30" s="32"/>
      <c r="BE30" s="32"/>
      <c r="BF30" s="53"/>
      <c r="BG30" s="21" t="str">
        <f>IFERROR(VLOOKUP(April[[#This Row],[Drug Name9]],'Data Options'!$R$1:$S$100,2,FALSE), " ")</f>
        <v xml:space="preserve"> </v>
      </c>
      <c r="BH30" s="32"/>
      <c r="BI30" s="32"/>
    </row>
    <row r="31" spans="1:61">
      <c r="A31" s="5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1"/>
      <c r="P31" s="53"/>
      <c r="Q31" s="21" t="str">
        <f>IFERROR(VLOOKUP(April[[#This Row],[Drug Name]],'Data Options'!$R$1:$S$100,2,FALSE), " ")</f>
        <v xml:space="preserve"> </v>
      </c>
      <c r="R31" s="32"/>
      <c r="S31" s="32"/>
      <c r="T31" s="53"/>
      <c r="U31" s="21" t="str">
        <f>IFERROR(VLOOKUP(April[[#This Row],[Drug Name2]],'Data Options'!$R$1:$S$100,2,FALSE), " ")</f>
        <v xml:space="preserve"> </v>
      </c>
      <c r="V31" s="32"/>
      <c r="W31" s="32"/>
      <c r="X31" s="53"/>
      <c r="Y31" s="21" t="str">
        <f>IFERROR(VLOOKUP(April[[#This Row],[Drug Name3]],'Data Options'!$R$1:$S$100,2,FALSE), " ")</f>
        <v xml:space="preserve"> </v>
      </c>
      <c r="Z31" s="32"/>
      <c r="AA31" s="32"/>
      <c r="AB31" s="32"/>
      <c r="AC31" s="32"/>
      <c r="AD31" s="32"/>
      <c r="AE31" s="31"/>
      <c r="AF31" s="31"/>
      <c r="AG31" s="53"/>
      <c r="AH31" s="21" t="str">
        <f>IFERROR(VLOOKUP(April[[#This Row],[Drug Name4]],'Data Options'!$R$1:$S$100,2,FALSE), " ")</f>
        <v xml:space="preserve"> </v>
      </c>
      <c r="AI31" s="32"/>
      <c r="AJ31" s="32"/>
      <c r="AK31" s="53"/>
      <c r="AL31" s="21" t="str">
        <f>IFERROR(VLOOKUP(April[[#This Row],[Drug Name5]],'Data Options'!$R$1:$S$100,2,FALSE), " ")</f>
        <v xml:space="preserve"> </v>
      </c>
      <c r="AM31" s="32"/>
      <c r="AN31" s="32"/>
      <c r="AO31" s="53"/>
      <c r="AP31" s="21" t="str">
        <f>IFERROR(VLOOKUP(April[[#This Row],[Drug Name6]],'Data Options'!$R$1:$S$100,2,FALSE), " ")</f>
        <v xml:space="preserve"> </v>
      </c>
      <c r="AQ31" s="32"/>
      <c r="AR31" s="32"/>
      <c r="AS31" s="32"/>
      <c r="AT31" s="32"/>
      <c r="AU31" s="32"/>
      <c r="AV31" s="31"/>
      <c r="AW31" s="31"/>
      <c r="AX31" s="53"/>
      <c r="AY31" s="21" t="str">
        <f>IFERROR(VLOOKUP(April[[#This Row],[Drug Name7]],'Data Options'!$R$1:$S$100,2,FALSE), " ")</f>
        <v xml:space="preserve"> </v>
      </c>
      <c r="AZ31" s="32"/>
      <c r="BA31" s="32"/>
      <c r="BB31" s="53"/>
      <c r="BC31" s="21" t="str">
        <f>IFERROR(VLOOKUP(April[[#This Row],[Drug Name8]],'Data Options'!$R$1:$S$100,2,FALSE), " ")</f>
        <v xml:space="preserve"> </v>
      </c>
      <c r="BD31" s="32"/>
      <c r="BE31" s="32"/>
      <c r="BF31" s="53"/>
      <c r="BG31" s="21" t="str">
        <f>IFERROR(VLOOKUP(April[[#This Row],[Drug Name9]],'Data Options'!$R$1:$S$100,2,FALSE), " ")</f>
        <v xml:space="preserve"> </v>
      </c>
      <c r="BH31" s="32"/>
      <c r="BI31" s="32"/>
    </row>
    <row r="32" spans="1:61">
      <c r="A32" s="5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  <c r="P32" s="53"/>
      <c r="Q32" s="21" t="str">
        <f>IFERROR(VLOOKUP(April[[#This Row],[Drug Name]],'Data Options'!$R$1:$S$100,2,FALSE), " ")</f>
        <v xml:space="preserve"> </v>
      </c>
      <c r="R32" s="32"/>
      <c r="S32" s="32"/>
      <c r="T32" s="53"/>
      <c r="U32" s="21" t="str">
        <f>IFERROR(VLOOKUP(April[[#This Row],[Drug Name2]],'Data Options'!$R$1:$S$100,2,FALSE), " ")</f>
        <v xml:space="preserve"> </v>
      </c>
      <c r="V32" s="32"/>
      <c r="W32" s="32"/>
      <c r="X32" s="53"/>
      <c r="Y32" s="21" t="str">
        <f>IFERROR(VLOOKUP(April[[#This Row],[Drug Name3]],'Data Options'!$R$1:$S$100,2,FALSE), " ")</f>
        <v xml:space="preserve"> </v>
      </c>
      <c r="Z32" s="32"/>
      <c r="AA32" s="32"/>
      <c r="AB32" s="32"/>
      <c r="AC32" s="32"/>
      <c r="AD32" s="32"/>
      <c r="AE32" s="31"/>
      <c r="AF32" s="31"/>
      <c r="AG32" s="53"/>
      <c r="AH32" s="21" t="str">
        <f>IFERROR(VLOOKUP(April[[#This Row],[Drug Name4]],'Data Options'!$R$1:$S$100,2,FALSE), " ")</f>
        <v xml:space="preserve"> </v>
      </c>
      <c r="AI32" s="32"/>
      <c r="AJ32" s="32"/>
      <c r="AK32" s="53"/>
      <c r="AL32" s="21" t="str">
        <f>IFERROR(VLOOKUP(April[[#This Row],[Drug Name5]],'Data Options'!$R$1:$S$100,2,FALSE), " ")</f>
        <v xml:space="preserve"> </v>
      </c>
      <c r="AM32" s="32"/>
      <c r="AN32" s="32"/>
      <c r="AO32" s="53"/>
      <c r="AP32" s="21" t="str">
        <f>IFERROR(VLOOKUP(April[[#This Row],[Drug Name6]],'Data Options'!$R$1:$S$100,2,FALSE), " ")</f>
        <v xml:space="preserve"> </v>
      </c>
      <c r="AQ32" s="32"/>
      <c r="AR32" s="32"/>
      <c r="AS32" s="32"/>
      <c r="AT32" s="32"/>
      <c r="AU32" s="32"/>
      <c r="AV32" s="31"/>
      <c r="AW32" s="31"/>
      <c r="AX32" s="53"/>
      <c r="AY32" s="21" t="str">
        <f>IFERROR(VLOOKUP(April[[#This Row],[Drug Name7]],'Data Options'!$R$1:$S$100,2,FALSE), " ")</f>
        <v xml:space="preserve"> </v>
      </c>
      <c r="AZ32" s="32"/>
      <c r="BA32" s="32"/>
      <c r="BB32" s="53"/>
      <c r="BC32" s="21" t="str">
        <f>IFERROR(VLOOKUP(April[[#This Row],[Drug Name8]],'Data Options'!$R$1:$S$100,2,FALSE), " ")</f>
        <v xml:space="preserve"> </v>
      </c>
      <c r="BD32" s="32"/>
      <c r="BE32" s="32"/>
      <c r="BF32" s="53"/>
      <c r="BG32" s="21" t="str">
        <f>IFERROR(VLOOKUP(April[[#This Row],[Drug Name9]],'Data Options'!$R$1:$S$100,2,FALSE), " ")</f>
        <v xml:space="preserve"> </v>
      </c>
      <c r="BH32" s="32"/>
      <c r="BI32" s="32"/>
    </row>
    <row r="33" spans="1:61">
      <c r="A33" s="5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1"/>
      <c r="O33" s="31"/>
      <c r="P33" s="53"/>
      <c r="Q33" s="21" t="str">
        <f>IFERROR(VLOOKUP(April[[#This Row],[Drug Name]],'Data Options'!$R$1:$S$100,2,FALSE), " ")</f>
        <v xml:space="preserve"> </v>
      </c>
      <c r="R33" s="32"/>
      <c r="S33" s="32"/>
      <c r="T33" s="53"/>
      <c r="U33" s="21" t="str">
        <f>IFERROR(VLOOKUP(April[[#This Row],[Drug Name2]],'Data Options'!$R$1:$S$100,2,FALSE), " ")</f>
        <v xml:space="preserve"> </v>
      </c>
      <c r="V33" s="32"/>
      <c r="W33" s="32"/>
      <c r="X33" s="53"/>
      <c r="Y33" s="21" t="str">
        <f>IFERROR(VLOOKUP(April[[#This Row],[Drug Name3]],'Data Options'!$R$1:$S$100,2,FALSE), " ")</f>
        <v xml:space="preserve"> </v>
      </c>
      <c r="Z33" s="32"/>
      <c r="AA33" s="32"/>
      <c r="AB33" s="32"/>
      <c r="AC33" s="32"/>
      <c r="AD33" s="32"/>
      <c r="AE33" s="31"/>
      <c r="AF33" s="31"/>
      <c r="AG33" s="53"/>
      <c r="AH33" s="21" t="str">
        <f>IFERROR(VLOOKUP(April[[#This Row],[Drug Name4]],'Data Options'!$R$1:$S$100,2,FALSE), " ")</f>
        <v xml:space="preserve"> </v>
      </c>
      <c r="AI33" s="32"/>
      <c r="AJ33" s="32"/>
      <c r="AK33" s="53"/>
      <c r="AL33" s="21" t="str">
        <f>IFERROR(VLOOKUP(April[[#This Row],[Drug Name5]],'Data Options'!$R$1:$S$100,2,FALSE), " ")</f>
        <v xml:space="preserve"> </v>
      </c>
      <c r="AM33" s="32"/>
      <c r="AN33" s="32"/>
      <c r="AO33" s="53"/>
      <c r="AP33" s="21" t="str">
        <f>IFERROR(VLOOKUP(April[[#This Row],[Drug Name6]],'Data Options'!$R$1:$S$100,2,FALSE), " ")</f>
        <v xml:space="preserve"> </v>
      </c>
      <c r="AQ33" s="32"/>
      <c r="AR33" s="32"/>
      <c r="AS33" s="32"/>
      <c r="AT33" s="32"/>
      <c r="AU33" s="32"/>
      <c r="AV33" s="31"/>
      <c r="AW33" s="31"/>
      <c r="AX33" s="53"/>
      <c r="AY33" s="21" t="str">
        <f>IFERROR(VLOOKUP(April[[#This Row],[Drug Name7]],'Data Options'!$R$1:$S$100,2,FALSE), " ")</f>
        <v xml:space="preserve"> </v>
      </c>
      <c r="AZ33" s="32"/>
      <c r="BA33" s="32"/>
      <c r="BB33" s="53"/>
      <c r="BC33" s="21" t="str">
        <f>IFERROR(VLOOKUP(April[[#This Row],[Drug Name8]],'Data Options'!$R$1:$S$100,2,FALSE), " ")</f>
        <v xml:space="preserve"> </v>
      </c>
      <c r="BD33" s="32"/>
      <c r="BE33" s="32"/>
      <c r="BF33" s="53"/>
      <c r="BG33" s="21" t="str">
        <f>IFERROR(VLOOKUP(April[[#This Row],[Drug Name9]],'Data Options'!$R$1:$S$100,2,FALSE), " ")</f>
        <v xml:space="preserve"> </v>
      </c>
      <c r="BH33" s="32"/>
      <c r="BI33" s="32"/>
    </row>
    <row r="34" spans="1:61">
      <c r="A34" s="5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  <c r="O34" s="31"/>
      <c r="P34" s="53"/>
      <c r="Q34" s="21" t="str">
        <f>IFERROR(VLOOKUP(April[[#This Row],[Drug Name]],'Data Options'!$R$1:$S$100,2,FALSE), " ")</f>
        <v xml:space="preserve"> </v>
      </c>
      <c r="R34" s="32"/>
      <c r="S34" s="32"/>
      <c r="T34" s="53"/>
      <c r="U34" s="21" t="str">
        <f>IFERROR(VLOOKUP(April[[#This Row],[Drug Name2]],'Data Options'!$R$1:$S$100,2,FALSE), " ")</f>
        <v xml:space="preserve"> </v>
      </c>
      <c r="V34" s="32"/>
      <c r="W34" s="32"/>
      <c r="X34" s="53"/>
      <c r="Y34" s="21" t="str">
        <f>IFERROR(VLOOKUP(April[[#This Row],[Drug Name3]],'Data Options'!$R$1:$S$100,2,FALSE), " ")</f>
        <v xml:space="preserve"> </v>
      </c>
      <c r="Z34" s="32"/>
      <c r="AA34" s="32"/>
      <c r="AB34" s="32"/>
      <c r="AC34" s="32"/>
      <c r="AD34" s="32"/>
      <c r="AE34" s="31"/>
      <c r="AF34" s="31"/>
      <c r="AG34" s="53"/>
      <c r="AH34" s="21" t="str">
        <f>IFERROR(VLOOKUP(April[[#This Row],[Drug Name4]],'Data Options'!$R$1:$S$100,2,FALSE), " ")</f>
        <v xml:space="preserve"> </v>
      </c>
      <c r="AI34" s="32"/>
      <c r="AJ34" s="32"/>
      <c r="AK34" s="53"/>
      <c r="AL34" s="21" t="str">
        <f>IFERROR(VLOOKUP(April[[#This Row],[Drug Name5]],'Data Options'!$R$1:$S$100,2,FALSE), " ")</f>
        <v xml:space="preserve"> </v>
      </c>
      <c r="AM34" s="32"/>
      <c r="AN34" s="32"/>
      <c r="AO34" s="53"/>
      <c r="AP34" s="21" t="str">
        <f>IFERROR(VLOOKUP(April[[#This Row],[Drug Name6]],'Data Options'!$R$1:$S$100,2,FALSE), " ")</f>
        <v xml:space="preserve"> </v>
      </c>
      <c r="AQ34" s="32"/>
      <c r="AR34" s="32"/>
      <c r="AS34" s="32"/>
      <c r="AT34" s="32"/>
      <c r="AU34" s="32"/>
      <c r="AV34" s="31"/>
      <c r="AW34" s="31"/>
      <c r="AX34" s="53"/>
      <c r="AY34" s="21" t="str">
        <f>IFERROR(VLOOKUP(April[[#This Row],[Drug Name7]],'Data Options'!$R$1:$S$100,2,FALSE), " ")</f>
        <v xml:space="preserve"> </v>
      </c>
      <c r="AZ34" s="32"/>
      <c r="BA34" s="32"/>
      <c r="BB34" s="53"/>
      <c r="BC34" s="21" t="str">
        <f>IFERROR(VLOOKUP(April[[#This Row],[Drug Name8]],'Data Options'!$R$1:$S$100,2,FALSE), " ")</f>
        <v xml:space="preserve"> </v>
      </c>
      <c r="BD34" s="32"/>
      <c r="BE34" s="32"/>
      <c r="BF34" s="53"/>
      <c r="BG34" s="21" t="str">
        <f>IFERROR(VLOOKUP(April[[#This Row],[Drug Name9]],'Data Options'!$R$1:$S$100,2,FALSE), " ")</f>
        <v xml:space="preserve"> </v>
      </c>
      <c r="BH34" s="32"/>
      <c r="BI34" s="32"/>
    </row>
    <row r="35" spans="1:61">
      <c r="A35" s="5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/>
      <c r="O35" s="31"/>
      <c r="P35" s="53"/>
      <c r="Q35" s="21" t="str">
        <f>IFERROR(VLOOKUP(April[[#This Row],[Drug Name]],'Data Options'!$R$1:$S$100,2,FALSE), " ")</f>
        <v xml:space="preserve"> </v>
      </c>
      <c r="R35" s="32"/>
      <c r="S35" s="32"/>
      <c r="T35" s="53"/>
      <c r="U35" s="21" t="str">
        <f>IFERROR(VLOOKUP(April[[#This Row],[Drug Name2]],'Data Options'!$R$1:$S$100,2,FALSE), " ")</f>
        <v xml:space="preserve"> </v>
      </c>
      <c r="V35" s="32"/>
      <c r="W35" s="32"/>
      <c r="X35" s="53"/>
      <c r="Y35" s="21" t="str">
        <f>IFERROR(VLOOKUP(April[[#This Row],[Drug Name3]],'Data Options'!$R$1:$S$100,2,FALSE), " ")</f>
        <v xml:space="preserve"> </v>
      </c>
      <c r="Z35" s="32"/>
      <c r="AA35" s="32"/>
      <c r="AB35" s="32"/>
      <c r="AC35" s="32"/>
      <c r="AD35" s="32"/>
      <c r="AE35" s="31"/>
      <c r="AF35" s="31"/>
      <c r="AG35" s="53"/>
      <c r="AH35" s="21" t="str">
        <f>IFERROR(VLOOKUP(April[[#This Row],[Drug Name4]],'Data Options'!$R$1:$S$100,2,FALSE), " ")</f>
        <v xml:space="preserve"> </v>
      </c>
      <c r="AI35" s="32"/>
      <c r="AJ35" s="32"/>
      <c r="AK35" s="53"/>
      <c r="AL35" s="21" t="str">
        <f>IFERROR(VLOOKUP(April[[#This Row],[Drug Name5]],'Data Options'!$R$1:$S$100,2,FALSE), " ")</f>
        <v xml:space="preserve"> </v>
      </c>
      <c r="AM35" s="32"/>
      <c r="AN35" s="32"/>
      <c r="AO35" s="53"/>
      <c r="AP35" s="21" t="str">
        <f>IFERROR(VLOOKUP(April[[#This Row],[Drug Name6]],'Data Options'!$R$1:$S$100,2,FALSE), " ")</f>
        <v xml:space="preserve"> </v>
      </c>
      <c r="AQ35" s="32"/>
      <c r="AR35" s="32"/>
      <c r="AS35" s="32"/>
      <c r="AT35" s="32"/>
      <c r="AU35" s="32"/>
      <c r="AV35" s="31"/>
      <c r="AW35" s="31"/>
      <c r="AX35" s="53"/>
      <c r="AY35" s="21" t="str">
        <f>IFERROR(VLOOKUP(April[[#This Row],[Drug Name7]],'Data Options'!$R$1:$S$100,2,FALSE), " ")</f>
        <v xml:space="preserve"> </v>
      </c>
      <c r="AZ35" s="32"/>
      <c r="BA35" s="32"/>
      <c r="BB35" s="53"/>
      <c r="BC35" s="21" t="str">
        <f>IFERROR(VLOOKUP(April[[#This Row],[Drug Name8]],'Data Options'!$R$1:$S$100,2,FALSE), " ")</f>
        <v xml:space="preserve"> </v>
      </c>
      <c r="BD35" s="32"/>
      <c r="BE35" s="32"/>
      <c r="BF35" s="53"/>
      <c r="BG35" s="21" t="str">
        <f>IFERROR(VLOOKUP(April[[#This Row],[Drug Name9]],'Data Options'!$R$1:$S$100,2,FALSE), " ")</f>
        <v xml:space="preserve"> </v>
      </c>
      <c r="BH35" s="32"/>
      <c r="BI35" s="32"/>
    </row>
    <row r="36" spans="1:61">
      <c r="A36" s="5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1"/>
      <c r="O36" s="31"/>
      <c r="P36" s="53"/>
      <c r="Q36" s="21" t="str">
        <f>IFERROR(VLOOKUP(April[[#This Row],[Drug Name]],'Data Options'!$R$1:$S$100,2,FALSE), " ")</f>
        <v xml:space="preserve"> </v>
      </c>
      <c r="R36" s="32"/>
      <c r="S36" s="32"/>
      <c r="T36" s="53"/>
      <c r="U36" s="21" t="str">
        <f>IFERROR(VLOOKUP(April[[#This Row],[Drug Name2]],'Data Options'!$R$1:$S$100,2,FALSE), " ")</f>
        <v xml:space="preserve"> </v>
      </c>
      <c r="V36" s="32"/>
      <c r="W36" s="32"/>
      <c r="X36" s="53"/>
      <c r="Y36" s="21" t="str">
        <f>IFERROR(VLOOKUP(April[[#This Row],[Drug Name3]],'Data Options'!$R$1:$S$100,2,FALSE), " ")</f>
        <v xml:space="preserve"> </v>
      </c>
      <c r="Z36" s="32"/>
      <c r="AA36" s="32"/>
      <c r="AB36" s="32"/>
      <c r="AC36" s="32"/>
      <c r="AD36" s="32"/>
      <c r="AE36" s="31"/>
      <c r="AF36" s="31"/>
      <c r="AG36" s="53"/>
      <c r="AH36" s="21" t="str">
        <f>IFERROR(VLOOKUP(April[[#This Row],[Drug Name4]],'Data Options'!$R$1:$S$100,2,FALSE), " ")</f>
        <v xml:space="preserve"> </v>
      </c>
      <c r="AI36" s="32"/>
      <c r="AJ36" s="32"/>
      <c r="AK36" s="53"/>
      <c r="AL36" s="21" t="str">
        <f>IFERROR(VLOOKUP(April[[#This Row],[Drug Name5]],'Data Options'!$R$1:$S$100,2,FALSE), " ")</f>
        <v xml:space="preserve"> </v>
      </c>
      <c r="AM36" s="32"/>
      <c r="AN36" s="32"/>
      <c r="AO36" s="53"/>
      <c r="AP36" s="21" t="str">
        <f>IFERROR(VLOOKUP(April[[#This Row],[Drug Name6]],'Data Options'!$R$1:$S$100,2,FALSE), " ")</f>
        <v xml:space="preserve"> </v>
      </c>
      <c r="AQ36" s="32"/>
      <c r="AR36" s="32"/>
      <c r="AS36" s="32"/>
      <c r="AT36" s="32"/>
      <c r="AU36" s="32"/>
      <c r="AV36" s="31"/>
      <c r="AW36" s="31"/>
      <c r="AX36" s="53"/>
      <c r="AY36" s="21" t="str">
        <f>IFERROR(VLOOKUP(April[[#This Row],[Drug Name7]],'Data Options'!$R$1:$S$100,2,FALSE), " ")</f>
        <v xml:space="preserve"> </v>
      </c>
      <c r="AZ36" s="32"/>
      <c r="BA36" s="32"/>
      <c r="BB36" s="53"/>
      <c r="BC36" s="21" t="str">
        <f>IFERROR(VLOOKUP(April[[#This Row],[Drug Name8]],'Data Options'!$R$1:$S$100,2,FALSE), " ")</f>
        <v xml:space="preserve"> </v>
      </c>
      <c r="BD36" s="32"/>
      <c r="BE36" s="32"/>
      <c r="BF36" s="53"/>
      <c r="BG36" s="21" t="str">
        <f>IFERROR(VLOOKUP(April[[#This Row],[Drug Name9]],'Data Options'!$R$1:$S$100,2,FALSE), " ")</f>
        <v xml:space="preserve"> </v>
      </c>
      <c r="BH36" s="32"/>
      <c r="BI36" s="32"/>
    </row>
    <row r="37" spans="1:61">
      <c r="A37" s="5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1"/>
      <c r="P37" s="53"/>
      <c r="Q37" s="21" t="str">
        <f>IFERROR(VLOOKUP(April[[#This Row],[Drug Name]],'Data Options'!$R$1:$S$100,2,FALSE), " ")</f>
        <v xml:space="preserve"> </v>
      </c>
      <c r="R37" s="32"/>
      <c r="S37" s="32"/>
      <c r="T37" s="53"/>
      <c r="U37" s="21" t="str">
        <f>IFERROR(VLOOKUP(April[[#This Row],[Drug Name2]],'Data Options'!$R$1:$S$100,2,FALSE), " ")</f>
        <v xml:space="preserve"> </v>
      </c>
      <c r="V37" s="32"/>
      <c r="W37" s="32"/>
      <c r="X37" s="53"/>
      <c r="Y37" s="21" t="str">
        <f>IFERROR(VLOOKUP(April[[#This Row],[Drug Name3]],'Data Options'!$R$1:$S$100,2,FALSE), " ")</f>
        <v xml:space="preserve"> </v>
      </c>
      <c r="Z37" s="32"/>
      <c r="AA37" s="32"/>
      <c r="AB37" s="32"/>
      <c r="AC37" s="32"/>
      <c r="AD37" s="32"/>
      <c r="AE37" s="31"/>
      <c r="AF37" s="31"/>
      <c r="AG37" s="53"/>
      <c r="AH37" s="21" t="str">
        <f>IFERROR(VLOOKUP(April[[#This Row],[Drug Name4]],'Data Options'!$R$1:$S$100,2,FALSE), " ")</f>
        <v xml:space="preserve"> </v>
      </c>
      <c r="AI37" s="32"/>
      <c r="AJ37" s="32"/>
      <c r="AK37" s="53"/>
      <c r="AL37" s="21" t="str">
        <f>IFERROR(VLOOKUP(April[[#This Row],[Drug Name5]],'Data Options'!$R$1:$S$100,2,FALSE), " ")</f>
        <v xml:space="preserve"> </v>
      </c>
      <c r="AM37" s="32"/>
      <c r="AN37" s="32"/>
      <c r="AO37" s="53"/>
      <c r="AP37" s="21" t="str">
        <f>IFERROR(VLOOKUP(April[[#This Row],[Drug Name6]],'Data Options'!$R$1:$S$100,2,FALSE), " ")</f>
        <v xml:space="preserve"> </v>
      </c>
      <c r="AQ37" s="32"/>
      <c r="AR37" s="32"/>
      <c r="AS37" s="32"/>
      <c r="AT37" s="32"/>
      <c r="AU37" s="32"/>
      <c r="AV37" s="31"/>
      <c r="AW37" s="31"/>
      <c r="AX37" s="53"/>
      <c r="AY37" s="21" t="str">
        <f>IFERROR(VLOOKUP(April[[#This Row],[Drug Name7]],'Data Options'!$R$1:$S$100,2,FALSE), " ")</f>
        <v xml:space="preserve"> </v>
      </c>
      <c r="AZ37" s="32"/>
      <c r="BA37" s="32"/>
      <c r="BB37" s="53"/>
      <c r="BC37" s="21" t="str">
        <f>IFERROR(VLOOKUP(April[[#This Row],[Drug Name8]],'Data Options'!$R$1:$S$100,2,FALSE), " ")</f>
        <v xml:space="preserve"> </v>
      </c>
      <c r="BD37" s="32"/>
      <c r="BE37" s="32"/>
      <c r="BF37" s="53"/>
      <c r="BG37" s="21" t="str">
        <f>IFERROR(VLOOKUP(April[[#This Row],[Drug Name9]],'Data Options'!$R$1:$S$100,2,FALSE), " ")</f>
        <v xml:space="preserve"> </v>
      </c>
      <c r="BH37" s="32"/>
      <c r="BI37" s="32"/>
    </row>
    <row r="38" spans="1:61">
      <c r="A38" s="5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  <c r="P38" s="53"/>
      <c r="Q38" s="21" t="str">
        <f>IFERROR(VLOOKUP(April[[#This Row],[Drug Name]],'Data Options'!$R$1:$S$100,2,FALSE), " ")</f>
        <v xml:space="preserve"> </v>
      </c>
      <c r="R38" s="32"/>
      <c r="S38" s="32"/>
      <c r="T38" s="53"/>
      <c r="U38" s="21" t="str">
        <f>IFERROR(VLOOKUP(April[[#This Row],[Drug Name2]],'Data Options'!$R$1:$S$100,2,FALSE), " ")</f>
        <v xml:space="preserve"> </v>
      </c>
      <c r="V38" s="32"/>
      <c r="W38" s="32"/>
      <c r="X38" s="53"/>
      <c r="Y38" s="21" t="str">
        <f>IFERROR(VLOOKUP(April[[#This Row],[Drug Name3]],'Data Options'!$R$1:$S$100,2,FALSE), " ")</f>
        <v xml:space="preserve"> </v>
      </c>
      <c r="Z38" s="32"/>
      <c r="AA38" s="32"/>
      <c r="AB38" s="32"/>
      <c r="AC38" s="32"/>
      <c r="AD38" s="32"/>
      <c r="AE38" s="31"/>
      <c r="AF38" s="31"/>
      <c r="AG38" s="53"/>
      <c r="AH38" s="21" t="str">
        <f>IFERROR(VLOOKUP(April[[#This Row],[Drug Name4]],'Data Options'!$R$1:$S$100,2,FALSE), " ")</f>
        <v xml:space="preserve"> </v>
      </c>
      <c r="AI38" s="32"/>
      <c r="AJ38" s="32"/>
      <c r="AK38" s="53"/>
      <c r="AL38" s="21" t="str">
        <f>IFERROR(VLOOKUP(April[[#This Row],[Drug Name5]],'Data Options'!$R$1:$S$100,2,FALSE), " ")</f>
        <v xml:space="preserve"> </v>
      </c>
      <c r="AM38" s="32"/>
      <c r="AN38" s="32"/>
      <c r="AO38" s="53"/>
      <c r="AP38" s="21" t="str">
        <f>IFERROR(VLOOKUP(April[[#This Row],[Drug Name6]],'Data Options'!$R$1:$S$100,2,FALSE), " ")</f>
        <v xml:space="preserve"> </v>
      </c>
      <c r="AQ38" s="32"/>
      <c r="AR38" s="32"/>
      <c r="AS38" s="32"/>
      <c r="AT38" s="32"/>
      <c r="AU38" s="32"/>
      <c r="AV38" s="31"/>
      <c r="AW38" s="31"/>
      <c r="AX38" s="53"/>
      <c r="AY38" s="21" t="str">
        <f>IFERROR(VLOOKUP(April[[#This Row],[Drug Name7]],'Data Options'!$R$1:$S$100,2,FALSE), " ")</f>
        <v xml:space="preserve"> </v>
      </c>
      <c r="AZ38" s="32"/>
      <c r="BA38" s="32"/>
      <c r="BB38" s="53"/>
      <c r="BC38" s="21" t="str">
        <f>IFERROR(VLOOKUP(April[[#This Row],[Drug Name8]],'Data Options'!$R$1:$S$100,2,FALSE), " ")</f>
        <v xml:space="preserve"> </v>
      </c>
      <c r="BD38" s="32"/>
      <c r="BE38" s="32"/>
      <c r="BF38" s="53"/>
      <c r="BG38" s="21" t="str">
        <f>IFERROR(VLOOKUP(April[[#This Row],[Drug Name9]],'Data Options'!$R$1:$S$100,2,FALSE), " ")</f>
        <v xml:space="preserve"> </v>
      </c>
      <c r="BH38" s="32"/>
      <c r="BI38" s="32"/>
    </row>
    <row r="39" spans="1:61">
      <c r="A39" s="5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1"/>
      <c r="O39" s="31"/>
      <c r="P39" s="53"/>
      <c r="Q39" s="21" t="str">
        <f>IFERROR(VLOOKUP(April[[#This Row],[Drug Name]],'Data Options'!$R$1:$S$100,2,FALSE), " ")</f>
        <v xml:space="preserve"> </v>
      </c>
      <c r="R39" s="32"/>
      <c r="S39" s="32"/>
      <c r="T39" s="53"/>
      <c r="U39" s="21" t="str">
        <f>IFERROR(VLOOKUP(April[[#This Row],[Drug Name2]],'Data Options'!$R$1:$S$100,2,FALSE), " ")</f>
        <v xml:space="preserve"> </v>
      </c>
      <c r="V39" s="32"/>
      <c r="W39" s="32"/>
      <c r="X39" s="53"/>
      <c r="Y39" s="21" t="str">
        <f>IFERROR(VLOOKUP(April[[#This Row],[Drug Name3]],'Data Options'!$R$1:$S$100,2,FALSE), " ")</f>
        <v xml:space="preserve"> </v>
      </c>
      <c r="Z39" s="32"/>
      <c r="AA39" s="32"/>
      <c r="AB39" s="32"/>
      <c r="AC39" s="32"/>
      <c r="AD39" s="32"/>
      <c r="AE39" s="31"/>
      <c r="AF39" s="31"/>
      <c r="AG39" s="53"/>
      <c r="AH39" s="21" t="str">
        <f>IFERROR(VLOOKUP(April[[#This Row],[Drug Name4]],'Data Options'!$R$1:$S$100,2,FALSE), " ")</f>
        <v xml:space="preserve"> </v>
      </c>
      <c r="AI39" s="32"/>
      <c r="AJ39" s="32"/>
      <c r="AK39" s="53"/>
      <c r="AL39" s="21" t="str">
        <f>IFERROR(VLOOKUP(April[[#This Row],[Drug Name5]],'Data Options'!$R$1:$S$100,2,FALSE), " ")</f>
        <v xml:space="preserve"> </v>
      </c>
      <c r="AM39" s="32"/>
      <c r="AN39" s="32"/>
      <c r="AO39" s="53"/>
      <c r="AP39" s="21" t="str">
        <f>IFERROR(VLOOKUP(April[[#This Row],[Drug Name6]],'Data Options'!$R$1:$S$100,2,FALSE), " ")</f>
        <v xml:space="preserve"> </v>
      </c>
      <c r="AQ39" s="32"/>
      <c r="AR39" s="32"/>
      <c r="AS39" s="32"/>
      <c r="AT39" s="32"/>
      <c r="AU39" s="32"/>
      <c r="AV39" s="31"/>
      <c r="AW39" s="31"/>
      <c r="AX39" s="53"/>
      <c r="AY39" s="21" t="str">
        <f>IFERROR(VLOOKUP(April[[#This Row],[Drug Name7]],'Data Options'!$R$1:$S$100,2,FALSE), " ")</f>
        <v xml:space="preserve"> </v>
      </c>
      <c r="AZ39" s="32"/>
      <c r="BA39" s="32"/>
      <c r="BB39" s="53"/>
      <c r="BC39" s="21" t="str">
        <f>IFERROR(VLOOKUP(April[[#This Row],[Drug Name8]],'Data Options'!$R$1:$S$100,2,FALSE), " ")</f>
        <v xml:space="preserve"> </v>
      </c>
      <c r="BD39" s="32"/>
      <c r="BE39" s="32"/>
      <c r="BF39" s="53"/>
      <c r="BG39" s="21" t="str">
        <f>IFERROR(VLOOKUP(April[[#This Row],[Drug Name9]],'Data Options'!$R$1:$S$100,2,FALSE), " ")</f>
        <v xml:space="preserve"> </v>
      </c>
      <c r="BH39" s="32"/>
      <c r="BI39" s="32"/>
    </row>
    <row r="40" spans="1:61">
      <c r="A40" s="5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1"/>
      <c r="O40" s="31"/>
      <c r="P40" s="53"/>
      <c r="Q40" s="21" t="str">
        <f>IFERROR(VLOOKUP(April[[#This Row],[Drug Name]],'Data Options'!$R$1:$S$100,2,FALSE), " ")</f>
        <v xml:space="preserve"> </v>
      </c>
      <c r="R40" s="32"/>
      <c r="S40" s="32"/>
      <c r="T40" s="53"/>
      <c r="U40" s="21" t="str">
        <f>IFERROR(VLOOKUP(April[[#This Row],[Drug Name2]],'Data Options'!$R$1:$S$100,2,FALSE), " ")</f>
        <v xml:space="preserve"> </v>
      </c>
      <c r="V40" s="32"/>
      <c r="W40" s="32"/>
      <c r="X40" s="53"/>
      <c r="Y40" s="21" t="str">
        <f>IFERROR(VLOOKUP(April[[#This Row],[Drug Name3]],'Data Options'!$R$1:$S$100,2,FALSE), " ")</f>
        <v xml:space="preserve"> </v>
      </c>
      <c r="Z40" s="32"/>
      <c r="AA40" s="32"/>
      <c r="AB40" s="32"/>
      <c r="AC40" s="32"/>
      <c r="AD40" s="32"/>
      <c r="AE40" s="31"/>
      <c r="AF40" s="31"/>
      <c r="AG40" s="53"/>
      <c r="AH40" s="21" t="str">
        <f>IFERROR(VLOOKUP(April[[#This Row],[Drug Name4]],'Data Options'!$R$1:$S$100,2,FALSE), " ")</f>
        <v xml:space="preserve"> </v>
      </c>
      <c r="AI40" s="32"/>
      <c r="AJ40" s="32"/>
      <c r="AK40" s="53"/>
      <c r="AL40" s="21" t="str">
        <f>IFERROR(VLOOKUP(April[[#This Row],[Drug Name5]],'Data Options'!$R$1:$S$100,2,FALSE), " ")</f>
        <v xml:space="preserve"> </v>
      </c>
      <c r="AM40" s="32"/>
      <c r="AN40" s="32"/>
      <c r="AO40" s="53"/>
      <c r="AP40" s="21" t="str">
        <f>IFERROR(VLOOKUP(April[[#This Row],[Drug Name6]],'Data Options'!$R$1:$S$100,2,FALSE), " ")</f>
        <v xml:space="preserve"> </v>
      </c>
      <c r="AQ40" s="32"/>
      <c r="AR40" s="32"/>
      <c r="AS40" s="32"/>
      <c r="AT40" s="32"/>
      <c r="AU40" s="32"/>
      <c r="AV40" s="31"/>
      <c r="AW40" s="31"/>
      <c r="AX40" s="53"/>
      <c r="AY40" s="21" t="str">
        <f>IFERROR(VLOOKUP(April[[#This Row],[Drug Name7]],'Data Options'!$R$1:$S$100,2,FALSE), " ")</f>
        <v xml:space="preserve"> </v>
      </c>
      <c r="AZ40" s="32"/>
      <c r="BA40" s="32"/>
      <c r="BB40" s="53"/>
      <c r="BC40" s="21" t="str">
        <f>IFERROR(VLOOKUP(April[[#This Row],[Drug Name8]],'Data Options'!$R$1:$S$100,2,FALSE), " ")</f>
        <v xml:space="preserve"> </v>
      </c>
      <c r="BD40" s="32"/>
      <c r="BE40" s="32"/>
      <c r="BF40" s="53"/>
      <c r="BG40" s="21" t="str">
        <f>IFERROR(VLOOKUP(April[[#This Row],[Drug Name9]],'Data Options'!$R$1:$S$100,2,FALSE), " ")</f>
        <v xml:space="preserve"> </v>
      </c>
      <c r="BH40" s="32"/>
      <c r="BI40" s="32"/>
    </row>
    <row r="41" spans="1:61">
      <c r="A41" s="5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1"/>
      <c r="O41" s="31"/>
      <c r="P41" s="53"/>
      <c r="Q41" s="21" t="str">
        <f>IFERROR(VLOOKUP(April[[#This Row],[Drug Name]],'Data Options'!$R$1:$S$100,2,FALSE), " ")</f>
        <v xml:space="preserve"> </v>
      </c>
      <c r="R41" s="32"/>
      <c r="S41" s="32"/>
      <c r="T41" s="53"/>
      <c r="U41" s="21" t="str">
        <f>IFERROR(VLOOKUP(April[[#This Row],[Drug Name2]],'Data Options'!$R$1:$S$100,2,FALSE), " ")</f>
        <v xml:space="preserve"> </v>
      </c>
      <c r="V41" s="32"/>
      <c r="W41" s="32"/>
      <c r="X41" s="53"/>
      <c r="Y41" s="21" t="str">
        <f>IFERROR(VLOOKUP(April[[#This Row],[Drug Name3]],'Data Options'!$R$1:$S$100,2,FALSE), " ")</f>
        <v xml:space="preserve"> </v>
      </c>
      <c r="Z41" s="32"/>
      <c r="AA41" s="32"/>
      <c r="AB41" s="32"/>
      <c r="AC41" s="32"/>
      <c r="AD41" s="32"/>
      <c r="AE41" s="31"/>
      <c r="AF41" s="31"/>
      <c r="AG41" s="53"/>
      <c r="AH41" s="21" t="str">
        <f>IFERROR(VLOOKUP(April[[#This Row],[Drug Name4]],'Data Options'!$R$1:$S$100,2,FALSE), " ")</f>
        <v xml:space="preserve"> </v>
      </c>
      <c r="AI41" s="32"/>
      <c r="AJ41" s="32"/>
      <c r="AK41" s="53"/>
      <c r="AL41" s="21" t="str">
        <f>IFERROR(VLOOKUP(April[[#This Row],[Drug Name5]],'Data Options'!$R$1:$S$100,2,FALSE), " ")</f>
        <v xml:space="preserve"> </v>
      </c>
      <c r="AM41" s="32"/>
      <c r="AN41" s="32"/>
      <c r="AO41" s="53"/>
      <c r="AP41" s="21" t="str">
        <f>IFERROR(VLOOKUP(April[[#This Row],[Drug Name6]],'Data Options'!$R$1:$S$100,2,FALSE), " ")</f>
        <v xml:space="preserve"> </v>
      </c>
      <c r="AQ41" s="32"/>
      <c r="AR41" s="32"/>
      <c r="AS41" s="32"/>
      <c r="AT41" s="32"/>
      <c r="AU41" s="32"/>
      <c r="AV41" s="31"/>
      <c r="AW41" s="31"/>
      <c r="AX41" s="53"/>
      <c r="AY41" s="21" t="str">
        <f>IFERROR(VLOOKUP(April[[#This Row],[Drug Name7]],'Data Options'!$R$1:$S$100,2,FALSE), " ")</f>
        <v xml:space="preserve"> </v>
      </c>
      <c r="AZ41" s="32"/>
      <c r="BA41" s="32"/>
      <c r="BB41" s="53"/>
      <c r="BC41" s="21" t="str">
        <f>IFERROR(VLOOKUP(April[[#This Row],[Drug Name8]],'Data Options'!$R$1:$S$100,2,FALSE), " ")</f>
        <v xml:space="preserve"> </v>
      </c>
      <c r="BD41" s="32"/>
      <c r="BE41" s="32"/>
      <c r="BF41" s="53"/>
      <c r="BG41" s="21" t="str">
        <f>IFERROR(VLOOKUP(April[[#This Row],[Drug Name9]],'Data Options'!$R$1:$S$100,2,FALSE), " ")</f>
        <v xml:space="preserve"> </v>
      </c>
      <c r="BH41" s="32"/>
      <c r="BI41" s="32"/>
    </row>
    <row r="42" spans="1:61">
      <c r="A42" s="5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/>
      <c r="O42" s="31"/>
      <c r="P42" s="53"/>
      <c r="Q42" s="21" t="str">
        <f>IFERROR(VLOOKUP(April[[#This Row],[Drug Name]],'Data Options'!$R$1:$S$100,2,FALSE), " ")</f>
        <v xml:space="preserve"> </v>
      </c>
      <c r="R42" s="32"/>
      <c r="S42" s="32"/>
      <c r="T42" s="53"/>
      <c r="U42" s="21" t="str">
        <f>IFERROR(VLOOKUP(April[[#This Row],[Drug Name2]],'Data Options'!$R$1:$S$100,2,FALSE), " ")</f>
        <v xml:space="preserve"> </v>
      </c>
      <c r="V42" s="32"/>
      <c r="W42" s="32"/>
      <c r="X42" s="53"/>
      <c r="Y42" s="21" t="str">
        <f>IFERROR(VLOOKUP(April[[#This Row],[Drug Name3]],'Data Options'!$R$1:$S$100,2,FALSE), " ")</f>
        <v xml:space="preserve"> </v>
      </c>
      <c r="Z42" s="32"/>
      <c r="AA42" s="32"/>
      <c r="AB42" s="32"/>
      <c r="AC42" s="32"/>
      <c r="AD42" s="32"/>
      <c r="AE42" s="31"/>
      <c r="AF42" s="31"/>
      <c r="AG42" s="53"/>
      <c r="AH42" s="21" t="str">
        <f>IFERROR(VLOOKUP(April[[#This Row],[Drug Name4]],'Data Options'!$R$1:$S$100,2,FALSE), " ")</f>
        <v xml:space="preserve"> </v>
      </c>
      <c r="AI42" s="32"/>
      <c r="AJ42" s="32"/>
      <c r="AK42" s="53"/>
      <c r="AL42" s="21" t="str">
        <f>IFERROR(VLOOKUP(April[[#This Row],[Drug Name5]],'Data Options'!$R$1:$S$100,2,FALSE), " ")</f>
        <v xml:space="preserve"> </v>
      </c>
      <c r="AM42" s="32"/>
      <c r="AN42" s="32"/>
      <c r="AO42" s="53"/>
      <c r="AP42" s="21" t="str">
        <f>IFERROR(VLOOKUP(April[[#This Row],[Drug Name6]],'Data Options'!$R$1:$S$100,2,FALSE), " ")</f>
        <v xml:space="preserve"> </v>
      </c>
      <c r="AQ42" s="32"/>
      <c r="AR42" s="32"/>
      <c r="AS42" s="32"/>
      <c r="AT42" s="32"/>
      <c r="AU42" s="32"/>
      <c r="AV42" s="31"/>
      <c r="AW42" s="31"/>
      <c r="AX42" s="53"/>
      <c r="AY42" s="21" t="str">
        <f>IFERROR(VLOOKUP(April[[#This Row],[Drug Name7]],'Data Options'!$R$1:$S$100,2,FALSE), " ")</f>
        <v xml:space="preserve"> </v>
      </c>
      <c r="AZ42" s="32"/>
      <c r="BA42" s="32"/>
      <c r="BB42" s="53"/>
      <c r="BC42" s="21" t="str">
        <f>IFERROR(VLOOKUP(April[[#This Row],[Drug Name8]],'Data Options'!$R$1:$S$100,2,FALSE), " ")</f>
        <v xml:space="preserve"> </v>
      </c>
      <c r="BD42" s="32"/>
      <c r="BE42" s="32"/>
      <c r="BF42" s="53"/>
      <c r="BG42" s="21" t="str">
        <f>IFERROR(VLOOKUP(April[[#This Row],[Drug Name9]],'Data Options'!$R$1:$S$100,2,FALSE), " ")</f>
        <v xml:space="preserve"> </v>
      </c>
      <c r="BH42" s="32"/>
      <c r="BI42" s="32"/>
    </row>
    <row r="43" spans="1:61">
      <c r="A43" s="5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  <c r="P43" s="53"/>
      <c r="Q43" s="21" t="str">
        <f>IFERROR(VLOOKUP(April[[#This Row],[Drug Name]],'Data Options'!$R$1:$S$100,2,FALSE), " ")</f>
        <v xml:space="preserve"> </v>
      </c>
      <c r="R43" s="32"/>
      <c r="S43" s="32"/>
      <c r="T43" s="53"/>
      <c r="U43" s="21" t="str">
        <f>IFERROR(VLOOKUP(April[[#This Row],[Drug Name2]],'Data Options'!$R$1:$S$100,2,FALSE), " ")</f>
        <v xml:space="preserve"> </v>
      </c>
      <c r="V43" s="32"/>
      <c r="W43" s="32"/>
      <c r="X43" s="53"/>
      <c r="Y43" s="21" t="str">
        <f>IFERROR(VLOOKUP(April[[#This Row],[Drug Name3]],'Data Options'!$R$1:$S$100,2,FALSE), " ")</f>
        <v xml:space="preserve"> </v>
      </c>
      <c r="Z43" s="32"/>
      <c r="AA43" s="32"/>
      <c r="AB43" s="32"/>
      <c r="AC43" s="32"/>
      <c r="AD43" s="32"/>
      <c r="AE43" s="31"/>
      <c r="AF43" s="31"/>
      <c r="AG43" s="53"/>
      <c r="AH43" s="21" t="str">
        <f>IFERROR(VLOOKUP(April[[#This Row],[Drug Name4]],'Data Options'!$R$1:$S$100,2,FALSE), " ")</f>
        <v xml:space="preserve"> </v>
      </c>
      <c r="AI43" s="32"/>
      <c r="AJ43" s="32"/>
      <c r="AK43" s="53"/>
      <c r="AL43" s="21" t="str">
        <f>IFERROR(VLOOKUP(April[[#This Row],[Drug Name5]],'Data Options'!$R$1:$S$100,2,FALSE), " ")</f>
        <v xml:space="preserve"> </v>
      </c>
      <c r="AM43" s="32"/>
      <c r="AN43" s="32"/>
      <c r="AO43" s="53"/>
      <c r="AP43" s="21" t="str">
        <f>IFERROR(VLOOKUP(April[[#This Row],[Drug Name6]],'Data Options'!$R$1:$S$100,2,FALSE), " ")</f>
        <v xml:space="preserve"> </v>
      </c>
      <c r="AQ43" s="32"/>
      <c r="AR43" s="32"/>
      <c r="AS43" s="32"/>
      <c r="AT43" s="32"/>
      <c r="AU43" s="32"/>
      <c r="AV43" s="31"/>
      <c r="AW43" s="31"/>
      <c r="AX43" s="53"/>
      <c r="AY43" s="21" t="str">
        <f>IFERROR(VLOOKUP(April[[#This Row],[Drug Name7]],'Data Options'!$R$1:$S$100,2,FALSE), " ")</f>
        <v xml:space="preserve"> </v>
      </c>
      <c r="AZ43" s="32"/>
      <c r="BA43" s="32"/>
      <c r="BB43" s="53"/>
      <c r="BC43" s="21" t="str">
        <f>IFERROR(VLOOKUP(April[[#This Row],[Drug Name8]],'Data Options'!$R$1:$S$100,2,FALSE), " ")</f>
        <v xml:space="preserve"> </v>
      </c>
      <c r="BD43" s="32"/>
      <c r="BE43" s="32"/>
      <c r="BF43" s="53"/>
      <c r="BG43" s="21" t="str">
        <f>IFERROR(VLOOKUP(April[[#This Row],[Drug Name9]],'Data Options'!$R$1:$S$100,2,FALSE), " ")</f>
        <v xml:space="preserve"> </v>
      </c>
      <c r="BH43" s="32"/>
      <c r="BI43" s="32"/>
    </row>
    <row r="44" spans="1:61">
      <c r="A44" s="5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53"/>
      <c r="Q44" s="21" t="str">
        <f>IFERROR(VLOOKUP(April[[#This Row],[Drug Name]],'Data Options'!$R$1:$S$100,2,FALSE), " ")</f>
        <v xml:space="preserve"> </v>
      </c>
      <c r="R44" s="32"/>
      <c r="S44" s="32"/>
      <c r="T44" s="53"/>
      <c r="U44" s="21" t="str">
        <f>IFERROR(VLOOKUP(April[[#This Row],[Drug Name2]],'Data Options'!$R$1:$S$100,2,FALSE), " ")</f>
        <v xml:space="preserve"> </v>
      </c>
      <c r="V44" s="32"/>
      <c r="W44" s="32"/>
      <c r="X44" s="53"/>
      <c r="Y44" s="21" t="str">
        <f>IFERROR(VLOOKUP(April[[#This Row],[Drug Name3]],'Data Options'!$R$1:$S$100,2,FALSE), " ")</f>
        <v xml:space="preserve"> </v>
      </c>
      <c r="Z44" s="32"/>
      <c r="AA44" s="32"/>
      <c r="AB44" s="32"/>
      <c r="AC44" s="32"/>
      <c r="AD44" s="32"/>
      <c r="AE44" s="31"/>
      <c r="AF44" s="31"/>
      <c r="AG44" s="53"/>
      <c r="AH44" s="21" t="str">
        <f>IFERROR(VLOOKUP(April[[#This Row],[Drug Name4]],'Data Options'!$R$1:$S$100,2,FALSE), " ")</f>
        <v xml:space="preserve"> </v>
      </c>
      <c r="AI44" s="32"/>
      <c r="AJ44" s="32"/>
      <c r="AK44" s="53"/>
      <c r="AL44" s="21" t="str">
        <f>IFERROR(VLOOKUP(April[[#This Row],[Drug Name5]],'Data Options'!$R$1:$S$100,2,FALSE), " ")</f>
        <v xml:space="preserve"> </v>
      </c>
      <c r="AM44" s="32"/>
      <c r="AN44" s="32"/>
      <c r="AO44" s="53"/>
      <c r="AP44" s="21" t="str">
        <f>IFERROR(VLOOKUP(April[[#This Row],[Drug Name6]],'Data Options'!$R$1:$S$100,2,FALSE), " ")</f>
        <v xml:space="preserve"> </v>
      </c>
      <c r="AQ44" s="32"/>
      <c r="AR44" s="32"/>
      <c r="AS44" s="32"/>
      <c r="AT44" s="32"/>
      <c r="AU44" s="32"/>
      <c r="AV44" s="31"/>
      <c r="AW44" s="31"/>
      <c r="AX44" s="53"/>
      <c r="AY44" s="21" t="str">
        <f>IFERROR(VLOOKUP(April[[#This Row],[Drug Name7]],'Data Options'!$R$1:$S$100,2,FALSE), " ")</f>
        <v xml:space="preserve"> </v>
      </c>
      <c r="AZ44" s="32"/>
      <c r="BA44" s="32"/>
      <c r="BB44" s="53"/>
      <c r="BC44" s="21" t="str">
        <f>IFERROR(VLOOKUP(April[[#This Row],[Drug Name8]],'Data Options'!$R$1:$S$100,2,FALSE), " ")</f>
        <v xml:space="preserve"> </v>
      </c>
      <c r="BD44" s="32"/>
      <c r="BE44" s="32"/>
      <c r="BF44" s="53"/>
      <c r="BG44" s="21" t="str">
        <f>IFERROR(VLOOKUP(April[[#This Row],[Drug Name9]],'Data Options'!$R$1:$S$100,2,FALSE), " ")</f>
        <v xml:space="preserve"> </v>
      </c>
      <c r="BH44" s="32"/>
      <c r="BI44" s="32"/>
    </row>
    <row r="45" spans="1:61">
      <c r="A45" s="5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1"/>
      <c r="O45" s="31"/>
      <c r="P45" s="53"/>
      <c r="Q45" s="21" t="str">
        <f>IFERROR(VLOOKUP(April[[#This Row],[Drug Name]],'Data Options'!$R$1:$S$100,2,FALSE), " ")</f>
        <v xml:space="preserve"> </v>
      </c>
      <c r="R45" s="32"/>
      <c r="S45" s="32"/>
      <c r="T45" s="53"/>
      <c r="U45" s="21" t="str">
        <f>IFERROR(VLOOKUP(April[[#This Row],[Drug Name2]],'Data Options'!$R$1:$S$100,2,FALSE), " ")</f>
        <v xml:space="preserve"> </v>
      </c>
      <c r="V45" s="32"/>
      <c r="W45" s="32"/>
      <c r="X45" s="53"/>
      <c r="Y45" s="21" t="str">
        <f>IFERROR(VLOOKUP(April[[#This Row],[Drug Name3]],'Data Options'!$R$1:$S$100,2,FALSE), " ")</f>
        <v xml:space="preserve"> </v>
      </c>
      <c r="Z45" s="32"/>
      <c r="AA45" s="32"/>
      <c r="AB45" s="32"/>
      <c r="AC45" s="32"/>
      <c r="AD45" s="32"/>
      <c r="AE45" s="31"/>
      <c r="AF45" s="31"/>
      <c r="AG45" s="53"/>
      <c r="AH45" s="21" t="str">
        <f>IFERROR(VLOOKUP(April[[#This Row],[Drug Name4]],'Data Options'!$R$1:$S$100,2,FALSE), " ")</f>
        <v xml:space="preserve"> </v>
      </c>
      <c r="AI45" s="32"/>
      <c r="AJ45" s="32"/>
      <c r="AK45" s="53"/>
      <c r="AL45" s="21" t="str">
        <f>IFERROR(VLOOKUP(April[[#This Row],[Drug Name5]],'Data Options'!$R$1:$S$100,2,FALSE), " ")</f>
        <v xml:space="preserve"> </v>
      </c>
      <c r="AM45" s="32"/>
      <c r="AN45" s="32"/>
      <c r="AO45" s="53"/>
      <c r="AP45" s="21" t="str">
        <f>IFERROR(VLOOKUP(April[[#This Row],[Drug Name6]],'Data Options'!$R$1:$S$100,2,FALSE), " ")</f>
        <v xml:space="preserve"> </v>
      </c>
      <c r="AQ45" s="32"/>
      <c r="AR45" s="32"/>
      <c r="AS45" s="32"/>
      <c r="AT45" s="32"/>
      <c r="AU45" s="32"/>
      <c r="AV45" s="31"/>
      <c r="AW45" s="31"/>
      <c r="AX45" s="53"/>
      <c r="AY45" s="21" t="str">
        <f>IFERROR(VLOOKUP(April[[#This Row],[Drug Name7]],'Data Options'!$R$1:$S$100,2,FALSE), " ")</f>
        <v xml:space="preserve"> </v>
      </c>
      <c r="AZ45" s="32"/>
      <c r="BA45" s="32"/>
      <c r="BB45" s="53"/>
      <c r="BC45" s="21" t="str">
        <f>IFERROR(VLOOKUP(April[[#This Row],[Drug Name8]],'Data Options'!$R$1:$S$100,2,FALSE), " ")</f>
        <v xml:space="preserve"> </v>
      </c>
      <c r="BD45" s="32"/>
      <c r="BE45" s="32"/>
      <c r="BF45" s="53"/>
      <c r="BG45" s="21" t="str">
        <f>IFERROR(VLOOKUP(April[[#This Row],[Drug Name9]],'Data Options'!$R$1:$S$100,2,FALSE), " ")</f>
        <v xml:space="preserve"> </v>
      </c>
      <c r="BH45" s="32"/>
      <c r="BI45" s="32"/>
    </row>
    <row r="46" spans="1:61">
      <c r="A46" s="5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1"/>
      <c r="O46" s="31"/>
      <c r="P46" s="53"/>
      <c r="Q46" s="21" t="str">
        <f>IFERROR(VLOOKUP(April[[#This Row],[Drug Name]],'Data Options'!$R$1:$S$100,2,FALSE), " ")</f>
        <v xml:space="preserve"> </v>
      </c>
      <c r="R46" s="32"/>
      <c r="S46" s="32"/>
      <c r="T46" s="53"/>
      <c r="U46" s="21" t="str">
        <f>IFERROR(VLOOKUP(April[[#This Row],[Drug Name2]],'Data Options'!$R$1:$S$100,2,FALSE), " ")</f>
        <v xml:space="preserve"> </v>
      </c>
      <c r="V46" s="32"/>
      <c r="W46" s="32"/>
      <c r="X46" s="53"/>
      <c r="Y46" s="21" t="str">
        <f>IFERROR(VLOOKUP(April[[#This Row],[Drug Name3]],'Data Options'!$R$1:$S$100,2,FALSE), " ")</f>
        <v xml:space="preserve"> </v>
      </c>
      <c r="Z46" s="32"/>
      <c r="AA46" s="32"/>
      <c r="AB46" s="32"/>
      <c r="AC46" s="32"/>
      <c r="AD46" s="32"/>
      <c r="AE46" s="31"/>
      <c r="AF46" s="31"/>
      <c r="AG46" s="53"/>
      <c r="AH46" s="21" t="str">
        <f>IFERROR(VLOOKUP(April[[#This Row],[Drug Name4]],'Data Options'!$R$1:$S$100,2,FALSE), " ")</f>
        <v xml:space="preserve"> </v>
      </c>
      <c r="AI46" s="32"/>
      <c r="AJ46" s="32"/>
      <c r="AK46" s="53"/>
      <c r="AL46" s="21" t="str">
        <f>IFERROR(VLOOKUP(April[[#This Row],[Drug Name5]],'Data Options'!$R$1:$S$100,2,FALSE), " ")</f>
        <v xml:space="preserve"> </v>
      </c>
      <c r="AM46" s="32"/>
      <c r="AN46" s="32"/>
      <c r="AO46" s="53"/>
      <c r="AP46" s="21" t="str">
        <f>IFERROR(VLOOKUP(April[[#This Row],[Drug Name6]],'Data Options'!$R$1:$S$100,2,FALSE), " ")</f>
        <v xml:space="preserve"> </v>
      </c>
      <c r="AQ46" s="32"/>
      <c r="AR46" s="32"/>
      <c r="AS46" s="32"/>
      <c r="AT46" s="32"/>
      <c r="AU46" s="32"/>
      <c r="AV46" s="31"/>
      <c r="AW46" s="31"/>
      <c r="AX46" s="53"/>
      <c r="AY46" s="21" t="str">
        <f>IFERROR(VLOOKUP(April[[#This Row],[Drug Name7]],'Data Options'!$R$1:$S$100,2,FALSE), " ")</f>
        <v xml:space="preserve"> </v>
      </c>
      <c r="AZ46" s="32"/>
      <c r="BA46" s="32"/>
      <c r="BB46" s="53"/>
      <c r="BC46" s="21" t="str">
        <f>IFERROR(VLOOKUP(April[[#This Row],[Drug Name8]],'Data Options'!$R$1:$S$100,2,FALSE), " ")</f>
        <v xml:space="preserve"> </v>
      </c>
      <c r="BD46" s="32"/>
      <c r="BE46" s="32"/>
      <c r="BF46" s="53"/>
      <c r="BG46" s="21" t="str">
        <f>IFERROR(VLOOKUP(April[[#This Row],[Drug Name9]],'Data Options'!$R$1:$S$100,2,FALSE), " ")</f>
        <v xml:space="preserve"> </v>
      </c>
      <c r="BH46" s="32"/>
      <c r="BI46" s="32"/>
    </row>
    <row r="47" spans="1:61">
      <c r="A47" s="5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1"/>
      <c r="O47" s="31"/>
      <c r="P47" s="53"/>
      <c r="Q47" s="21" t="str">
        <f>IFERROR(VLOOKUP(April[[#This Row],[Drug Name]],'Data Options'!$R$1:$S$100,2,FALSE), " ")</f>
        <v xml:space="preserve"> </v>
      </c>
      <c r="R47" s="32"/>
      <c r="S47" s="32"/>
      <c r="T47" s="53"/>
      <c r="U47" s="21" t="str">
        <f>IFERROR(VLOOKUP(April[[#This Row],[Drug Name2]],'Data Options'!$R$1:$S$100,2,FALSE), " ")</f>
        <v xml:space="preserve"> </v>
      </c>
      <c r="V47" s="32"/>
      <c r="W47" s="32"/>
      <c r="X47" s="53"/>
      <c r="Y47" s="21" t="str">
        <f>IFERROR(VLOOKUP(April[[#This Row],[Drug Name3]],'Data Options'!$R$1:$S$100,2,FALSE), " ")</f>
        <v xml:space="preserve"> </v>
      </c>
      <c r="Z47" s="32"/>
      <c r="AA47" s="32"/>
      <c r="AB47" s="32"/>
      <c r="AC47" s="32"/>
      <c r="AD47" s="32"/>
      <c r="AE47" s="31"/>
      <c r="AF47" s="31"/>
      <c r="AG47" s="53"/>
      <c r="AH47" s="21" t="str">
        <f>IFERROR(VLOOKUP(April[[#This Row],[Drug Name4]],'Data Options'!$R$1:$S$100,2,FALSE), " ")</f>
        <v xml:space="preserve"> </v>
      </c>
      <c r="AI47" s="32"/>
      <c r="AJ47" s="32"/>
      <c r="AK47" s="53"/>
      <c r="AL47" s="21" t="str">
        <f>IFERROR(VLOOKUP(April[[#This Row],[Drug Name5]],'Data Options'!$R$1:$S$100,2,FALSE), " ")</f>
        <v xml:space="preserve"> </v>
      </c>
      <c r="AM47" s="32"/>
      <c r="AN47" s="32"/>
      <c r="AO47" s="53"/>
      <c r="AP47" s="21" t="str">
        <f>IFERROR(VLOOKUP(April[[#This Row],[Drug Name6]],'Data Options'!$R$1:$S$100,2,FALSE), " ")</f>
        <v xml:space="preserve"> </v>
      </c>
      <c r="AQ47" s="32"/>
      <c r="AR47" s="32"/>
      <c r="AS47" s="32"/>
      <c r="AT47" s="32"/>
      <c r="AU47" s="32"/>
      <c r="AV47" s="31"/>
      <c r="AW47" s="31"/>
      <c r="AX47" s="53"/>
      <c r="AY47" s="21" t="str">
        <f>IFERROR(VLOOKUP(April[[#This Row],[Drug Name7]],'Data Options'!$R$1:$S$100,2,FALSE), " ")</f>
        <v xml:space="preserve"> </v>
      </c>
      <c r="AZ47" s="32"/>
      <c r="BA47" s="32"/>
      <c r="BB47" s="53"/>
      <c r="BC47" s="21" t="str">
        <f>IFERROR(VLOOKUP(April[[#This Row],[Drug Name8]],'Data Options'!$R$1:$S$100,2,FALSE), " ")</f>
        <v xml:space="preserve"> </v>
      </c>
      <c r="BD47" s="32"/>
      <c r="BE47" s="32"/>
      <c r="BF47" s="53"/>
      <c r="BG47" s="21" t="str">
        <f>IFERROR(VLOOKUP(April[[#This Row],[Drug Name9]],'Data Options'!$R$1:$S$100,2,FALSE), " ")</f>
        <v xml:space="preserve"> </v>
      </c>
      <c r="BH47" s="32"/>
      <c r="BI47" s="32"/>
    </row>
    <row r="48" spans="1:61">
      <c r="A48" s="5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1"/>
      <c r="O48" s="31"/>
      <c r="P48" s="53"/>
      <c r="Q48" s="21" t="str">
        <f>IFERROR(VLOOKUP(April[[#This Row],[Drug Name]],'Data Options'!$R$1:$S$100,2,FALSE), " ")</f>
        <v xml:space="preserve"> </v>
      </c>
      <c r="R48" s="32"/>
      <c r="S48" s="32"/>
      <c r="T48" s="53"/>
      <c r="U48" s="21" t="str">
        <f>IFERROR(VLOOKUP(April[[#This Row],[Drug Name2]],'Data Options'!$R$1:$S$100,2,FALSE), " ")</f>
        <v xml:space="preserve"> </v>
      </c>
      <c r="V48" s="32"/>
      <c r="W48" s="32"/>
      <c r="X48" s="53"/>
      <c r="Y48" s="21" t="str">
        <f>IFERROR(VLOOKUP(April[[#This Row],[Drug Name3]],'Data Options'!$R$1:$S$100,2,FALSE), " ")</f>
        <v xml:space="preserve"> </v>
      </c>
      <c r="Z48" s="32"/>
      <c r="AA48" s="32"/>
      <c r="AB48" s="32"/>
      <c r="AC48" s="32"/>
      <c r="AD48" s="32"/>
      <c r="AE48" s="31"/>
      <c r="AF48" s="31"/>
      <c r="AG48" s="53"/>
      <c r="AH48" s="21" t="str">
        <f>IFERROR(VLOOKUP(April[[#This Row],[Drug Name4]],'Data Options'!$R$1:$S$100,2,FALSE), " ")</f>
        <v xml:space="preserve"> </v>
      </c>
      <c r="AI48" s="32"/>
      <c r="AJ48" s="32"/>
      <c r="AK48" s="53"/>
      <c r="AL48" s="21" t="str">
        <f>IFERROR(VLOOKUP(April[[#This Row],[Drug Name5]],'Data Options'!$R$1:$S$100,2,FALSE), " ")</f>
        <v xml:space="preserve"> </v>
      </c>
      <c r="AM48" s="32"/>
      <c r="AN48" s="32"/>
      <c r="AO48" s="53"/>
      <c r="AP48" s="21" t="str">
        <f>IFERROR(VLOOKUP(April[[#This Row],[Drug Name6]],'Data Options'!$R$1:$S$100,2,FALSE), " ")</f>
        <v xml:space="preserve"> </v>
      </c>
      <c r="AQ48" s="32"/>
      <c r="AR48" s="32"/>
      <c r="AS48" s="32"/>
      <c r="AT48" s="32"/>
      <c r="AU48" s="32"/>
      <c r="AV48" s="31"/>
      <c r="AW48" s="31"/>
      <c r="AX48" s="53"/>
      <c r="AY48" s="21" t="str">
        <f>IFERROR(VLOOKUP(April[[#This Row],[Drug Name7]],'Data Options'!$R$1:$S$100,2,FALSE), " ")</f>
        <v xml:space="preserve"> </v>
      </c>
      <c r="AZ48" s="32"/>
      <c r="BA48" s="32"/>
      <c r="BB48" s="53"/>
      <c r="BC48" s="21" t="str">
        <f>IFERROR(VLOOKUP(April[[#This Row],[Drug Name8]],'Data Options'!$R$1:$S$100,2,FALSE), " ")</f>
        <v xml:space="preserve"> </v>
      </c>
      <c r="BD48" s="32"/>
      <c r="BE48" s="32"/>
      <c r="BF48" s="53"/>
      <c r="BG48" s="21" t="str">
        <f>IFERROR(VLOOKUP(April[[#This Row],[Drug Name9]],'Data Options'!$R$1:$S$100,2,FALSE), " ")</f>
        <v xml:space="preserve"> </v>
      </c>
      <c r="BH48" s="32"/>
      <c r="BI48" s="32"/>
    </row>
    <row r="49" spans="1:61">
      <c r="A49" s="5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  <c r="P49" s="53"/>
      <c r="Q49" s="21" t="str">
        <f>IFERROR(VLOOKUP(April[[#This Row],[Drug Name]],'Data Options'!$R$1:$S$100,2,FALSE), " ")</f>
        <v xml:space="preserve"> </v>
      </c>
      <c r="R49" s="32"/>
      <c r="S49" s="32"/>
      <c r="T49" s="53"/>
      <c r="U49" s="21" t="str">
        <f>IFERROR(VLOOKUP(April[[#This Row],[Drug Name2]],'Data Options'!$R$1:$S$100,2,FALSE), " ")</f>
        <v xml:space="preserve"> </v>
      </c>
      <c r="V49" s="32"/>
      <c r="W49" s="32"/>
      <c r="X49" s="53"/>
      <c r="Y49" s="21" t="str">
        <f>IFERROR(VLOOKUP(April[[#This Row],[Drug Name3]],'Data Options'!$R$1:$S$100,2,FALSE), " ")</f>
        <v xml:space="preserve"> </v>
      </c>
      <c r="Z49" s="32"/>
      <c r="AA49" s="32"/>
      <c r="AB49" s="32"/>
      <c r="AC49" s="32"/>
      <c r="AD49" s="32"/>
      <c r="AE49" s="31"/>
      <c r="AF49" s="31"/>
      <c r="AG49" s="53"/>
      <c r="AH49" s="21" t="str">
        <f>IFERROR(VLOOKUP(April[[#This Row],[Drug Name4]],'Data Options'!$R$1:$S$100,2,FALSE), " ")</f>
        <v xml:space="preserve"> </v>
      </c>
      <c r="AI49" s="32"/>
      <c r="AJ49" s="32"/>
      <c r="AK49" s="53"/>
      <c r="AL49" s="21" t="str">
        <f>IFERROR(VLOOKUP(April[[#This Row],[Drug Name5]],'Data Options'!$R$1:$S$100,2,FALSE), " ")</f>
        <v xml:space="preserve"> </v>
      </c>
      <c r="AM49" s="32"/>
      <c r="AN49" s="32"/>
      <c r="AO49" s="53"/>
      <c r="AP49" s="21" t="str">
        <f>IFERROR(VLOOKUP(April[[#This Row],[Drug Name6]],'Data Options'!$R$1:$S$100,2,FALSE), " ")</f>
        <v xml:space="preserve"> </v>
      </c>
      <c r="AQ49" s="32"/>
      <c r="AR49" s="32"/>
      <c r="AS49" s="32"/>
      <c r="AT49" s="32"/>
      <c r="AU49" s="32"/>
      <c r="AV49" s="31"/>
      <c r="AW49" s="31"/>
      <c r="AX49" s="53"/>
      <c r="AY49" s="21" t="str">
        <f>IFERROR(VLOOKUP(April[[#This Row],[Drug Name7]],'Data Options'!$R$1:$S$100,2,FALSE), " ")</f>
        <v xml:space="preserve"> </v>
      </c>
      <c r="AZ49" s="32"/>
      <c r="BA49" s="32"/>
      <c r="BB49" s="53"/>
      <c r="BC49" s="21" t="str">
        <f>IFERROR(VLOOKUP(April[[#This Row],[Drug Name8]],'Data Options'!$R$1:$S$100,2,FALSE), " ")</f>
        <v xml:space="preserve"> </v>
      </c>
      <c r="BD49" s="32"/>
      <c r="BE49" s="32"/>
      <c r="BF49" s="53"/>
      <c r="BG49" s="21" t="str">
        <f>IFERROR(VLOOKUP(April[[#This Row],[Drug Name9]],'Data Options'!$R$1:$S$100,2,FALSE), " ")</f>
        <v xml:space="preserve"> </v>
      </c>
      <c r="BH49" s="32"/>
      <c r="BI49" s="32"/>
    </row>
    <row r="50" spans="1:61">
      <c r="A50" s="5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1"/>
      <c r="P50" s="53"/>
      <c r="Q50" s="21" t="str">
        <f>IFERROR(VLOOKUP(April[[#This Row],[Drug Name]],'Data Options'!$R$1:$S$100,2,FALSE), " ")</f>
        <v xml:space="preserve"> </v>
      </c>
      <c r="R50" s="32"/>
      <c r="S50" s="32"/>
      <c r="T50" s="53"/>
      <c r="U50" s="21" t="str">
        <f>IFERROR(VLOOKUP(April[[#This Row],[Drug Name2]],'Data Options'!$R$1:$S$100,2,FALSE), " ")</f>
        <v xml:space="preserve"> </v>
      </c>
      <c r="V50" s="32"/>
      <c r="W50" s="32"/>
      <c r="X50" s="53"/>
      <c r="Y50" s="21" t="str">
        <f>IFERROR(VLOOKUP(April[[#This Row],[Drug Name3]],'Data Options'!$R$1:$S$100,2,FALSE), " ")</f>
        <v xml:space="preserve"> </v>
      </c>
      <c r="Z50" s="32"/>
      <c r="AA50" s="32"/>
      <c r="AB50" s="32"/>
      <c r="AC50" s="32"/>
      <c r="AD50" s="32"/>
      <c r="AE50" s="31"/>
      <c r="AF50" s="31"/>
      <c r="AG50" s="53"/>
      <c r="AH50" s="21" t="str">
        <f>IFERROR(VLOOKUP(April[[#This Row],[Drug Name4]],'Data Options'!$R$1:$S$100,2,FALSE), " ")</f>
        <v xml:space="preserve"> </v>
      </c>
      <c r="AI50" s="32"/>
      <c r="AJ50" s="32"/>
      <c r="AK50" s="53"/>
      <c r="AL50" s="21" t="str">
        <f>IFERROR(VLOOKUP(April[[#This Row],[Drug Name5]],'Data Options'!$R$1:$S$100,2,FALSE), " ")</f>
        <v xml:space="preserve"> </v>
      </c>
      <c r="AM50" s="32"/>
      <c r="AN50" s="32"/>
      <c r="AO50" s="53"/>
      <c r="AP50" s="21" t="str">
        <f>IFERROR(VLOOKUP(April[[#This Row],[Drug Name6]],'Data Options'!$R$1:$S$100,2,FALSE), " ")</f>
        <v xml:space="preserve"> </v>
      </c>
      <c r="AQ50" s="32"/>
      <c r="AR50" s="32"/>
      <c r="AS50" s="32"/>
      <c r="AT50" s="32"/>
      <c r="AU50" s="32"/>
      <c r="AV50" s="31"/>
      <c r="AW50" s="31"/>
      <c r="AX50" s="53"/>
      <c r="AY50" s="21" t="str">
        <f>IFERROR(VLOOKUP(April[[#This Row],[Drug Name7]],'Data Options'!$R$1:$S$100,2,FALSE), " ")</f>
        <v xml:space="preserve"> </v>
      </c>
      <c r="AZ50" s="32"/>
      <c r="BA50" s="32"/>
      <c r="BB50" s="53"/>
      <c r="BC50" s="21" t="str">
        <f>IFERROR(VLOOKUP(April[[#This Row],[Drug Name8]],'Data Options'!$R$1:$S$100,2,FALSE), " ")</f>
        <v xml:space="preserve"> </v>
      </c>
      <c r="BD50" s="32"/>
      <c r="BE50" s="32"/>
      <c r="BF50" s="53"/>
      <c r="BG50" s="21" t="str">
        <f>IFERROR(VLOOKUP(April[[#This Row],[Drug Name9]],'Data Options'!$R$1:$S$100,2,FALSE), " ")</f>
        <v xml:space="preserve"> </v>
      </c>
      <c r="BH50" s="32"/>
      <c r="BI50" s="32"/>
    </row>
    <row r="51" spans="1:61">
      <c r="A51" s="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1"/>
      <c r="P51" s="53"/>
      <c r="Q51" s="21" t="str">
        <f>IFERROR(VLOOKUP(April[[#This Row],[Drug Name]],'Data Options'!$R$1:$S$100,2,FALSE), " ")</f>
        <v xml:space="preserve"> </v>
      </c>
      <c r="R51" s="32"/>
      <c r="S51" s="32"/>
      <c r="T51" s="53"/>
      <c r="U51" s="21" t="str">
        <f>IFERROR(VLOOKUP(April[[#This Row],[Drug Name2]],'Data Options'!$R$1:$S$100,2,FALSE), " ")</f>
        <v xml:space="preserve"> </v>
      </c>
      <c r="V51" s="32"/>
      <c r="W51" s="32"/>
      <c r="X51" s="53"/>
      <c r="Y51" s="21" t="str">
        <f>IFERROR(VLOOKUP(April[[#This Row],[Drug Name3]],'Data Options'!$R$1:$S$100,2,FALSE), " ")</f>
        <v xml:space="preserve"> </v>
      </c>
      <c r="Z51" s="32"/>
      <c r="AA51" s="32"/>
      <c r="AB51" s="32"/>
      <c r="AC51" s="32"/>
      <c r="AD51" s="32"/>
      <c r="AE51" s="31"/>
      <c r="AF51" s="31"/>
      <c r="AG51" s="53"/>
      <c r="AH51" s="21" t="str">
        <f>IFERROR(VLOOKUP(April[[#This Row],[Drug Name4]],'Data Options'!$R$1:$S$100,2,FALSE), " ")</f>
        <v xml:space="preserve"> </v>
      </c>
      <c r="AI51" s="32"/>
      <c r="AJ51" s="32"/>
      <c r="AK51" s="53"/>
      <c r="AL51" s="21" t="str">
        <f>IFERROR(VLOOKUP(April[[#This Row],[Drug Name5]],'Data Options'!$R$1:$S$100,2,FALSE), " ")</f>
        <v xml:space="preserve"> </v>
      </c>
      <c r="AM51" s="32"/>
      <c r="AN51" s="32"/>
      <c r="AO51" s="53"/>
      <c r="AP51" s="21" t="str">
        <f>IFERROR(VLOOKUP(April[[#This Row],[Drug Name6]],'Data Options'!$R$1:$S$100,2,FALSE), " ")</f>
        <v xml:space="preserve"> </v>
      </c>
      <c r="AQ51" s="32"/>
      <c r="AR51" s="32"/>
      <c r="AS51" s="32"/>
      <c r="AT51" s="32"/>
      <c r="AU51" s="32"/>
      <c r="AV51" s="31"/>
      <c r="AW51" s="31"/>
      <c r="AX51" s="53"/>
      <c r="AY51" s="21" t="str">
        <f>IFERROR(VLOOKUP(April[[#This Row],[Drug Name7]],'Data Options'!$R$1:$S$100,2,FALSE), " ")</f>
        <v xml:space="preserve"> </v>
      </c>
      <c r="AZ51" s="32"/>
      <c r="BA51" s="32"/>
      <c r="BB51" s="53"/>
      <c r="BC51" s="21" t="str">
        <f>IFERROR(VLOOKUP(April[[#This Row],[Drug Name8]],'Data Options'!$R$1:$S$100,2,FALSE), " ")</f>
        <v xml:space="preserve"> </v>
      </c>
      <c r="BD51" s="32"/>
      <c r="BE51" s="32"/>
      <c r="BF51" s="53"/>
      <c r="BG51" s="21" t="str">
        <f>IFERROR(VLOOKUP(April[[#This Row],[Drug Name9]],'Data Options'!$R$1:$S$100,2,FALSE), " ")</f>
        <v xml:space="preserve"> </v>
      </c>
      <c r="BH51" s="32"/>
      <c r="BI51" s="32"/>
    </row>
    <row r="52" spans="1:61">
      <c r="A52" s="5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  <c r="O52" s="31"/>
      <c r="P52" s="53"/>
      <c r="Q52" s="21" t="str">
        <f>IFERROR(VLOOKUP(April[[#This Row],[Drug Name]],'Data Options'!$R$1:$S$100,2,FALSE), " ")</f>
        <v xml:space="preserve"> </v>
      </c>
      <c r="R52" s="32"/>
      <c r="S52" s="32"/>
      <c r="T52" s="53"/>
      <c r="U52" s="21" t="str">
        <f>IFERROR(VLOOKUP(April[[#This Row],[Drug Name2]],'Data Options'!$R$1:$S$100,2,FALSE), " ")</f>
        <v xml:space="preserve"> </v>
      </c>
      <c r="V52" s="32"/>
      <c r="W52" s="32"/>
      <c r="X52" s="53"/>
      <c r="Y52" s="21" t="str">
        <f>IFERROR(VLOOKUP(April[[#This Row],[Drug Name3]],'Data Options'!$R$1:$S$100,2,FALSE), " ")</f>
        <v xml:space="preserve"> </v>
      </c>
      <c r="Z52" s="32"/>
      <c r="AA52" s="32"/>
      <c r="AB52" s="32"/>
      <c r="AC52" s="32"/>
      <c r="AD52" s="32"/>
      <c r="AE52" s="31"/>
      <c r="AF52" s="31"/>
      <c r="AG52" s="53"/>
      <c r="AH52" s="21" t="str">
        <f>IFERROR(VLOOKUP(April[[#This Row],[Drug Name4]],'Data Options'!$R$1:$S$100,2,FALSE), " ")</f>
        <v xml:space="preserve"> </v>
      </c>
      <c r="AI52" s="32"/>
      <c r="AJ52" s="32"/>
      <c r="AK52" s="53"/>
      <c r="AL52" s="21" t="str">
        <f>IFERROR(VLOOKUP(April[[#This Row],[Drug Name5]],'Data Options'!$R$1:$S$100,2,FALSE), " ")</f>
        <v xml:space="preserve"> </v>
      </c>
      <c r="AM52" s="32"/>
      <c r="AN52" s="32"/>
      <c r="AO52" s="53"/>
      <c r="AP52" s="21" t="str">
        <f>IFERROR(VLOOKUP(April[[#This Row],[Drug Name6]],'Data Options'!$R$1:$S$100,2,FALSE), " ")</f>
        <v xml:space="preserve"> </v>
      </c>
      <c r="AQ52" s="32"/>
      <c r="AR52" s="32"/>
      <c r="AS52" s="32"/>
      <c r="AT52" s="32"/>
      <c r="AU52" s="32"/>
      <c r="AV52" s="31"/>
      <c r="AW52" s="31"/>
      <c r="AX52" s="53"/>
      <c r="AY52" s="21" t="str">
        <f>IFERROR(VLOOKUP(April[[#This Row],[Drug Name7]],'Data Options'!$R$1:$S$100,2,FALSE), " ")</f>
        <v xml:space="preserve"> </v>
      </c>
      <c r="AZ52" s="32"/>
      <c r="BA52" s="32"/>
      <c r="BB52" s="53"/>
      <c r="BC52" s="21" t="str">
        <f>IFERROR(VLOOKUP(April[[#This Row],[Drug Name8]],'Data Options'!$R$1:$S$100,2,FALSE), " ")</f>
        <v xml:space="preserve"> </v>
      </c>
      <c r="BD52" s="32"/>
      <c r="BE52" s="32"/>
      <c r="BF52" s="53"/>
      <c r="BG52" s="21" t="str">
        <f>IFERROR(VLOOKUP(April[[#This Row],[Drug Name9]],'Data Options'!$R$1:$S$100,2,FALSE), " ")</f>
        <v xml:space="preserve"> </v>
      </c>
      <c r="BH52" s="32"/>
      <c r="BI52" s="32"/>
    </row>
    <row r="53" spans="1:61">
      <c r="A53" s="5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53"/>
      <c r="Q53" s="21" t="str">
        <f>IFERROR(VLOOKUP(April[[#This Row],[Drug Name]],'Data Options'!$R$1:$S$100,2,FALSE), " ")</f>
        <v xml:space="preserve"> </v>
      </c>
      <c r="R53" s="32"/>
      <c r="S53" s="32"/>
      <c r="T53" s="53"/>
      <c r="U53" s="21" t="str">
        <f>IFERROR(VLOOKUP(April[[#This Row],[Drug Name2]],'Data Options'!$R$1:$S$100,2,FALSE), " ")</f>
        <v xml:space="preserve"> </v>
      </c>
      <c r="V53" s="32"/>
      <c r="W53" s="32"/>
      <c r="X53" s="53"/>
      <c r="Y53" s="21" t="str">
        <f>IFERROR(VLOOKUP(April[[#This Row],[Drug Name3]],'Data Options'!$R$1:$S$100,2,FALSE), " ")</f>
        <v xml:space="preserve"> </v>
      </c>
      <c r="Z53" s="32"/>
      <c r="AA53" s="32"/>
      <c r="AB53" s="32"/>
      <c r="AC53" s="32"/>
      <c r="AD53" s="32"/>
      <c r="AE53" s="31"/>
      <c r="AF53" s="31"/>
      <c r="AG53" s="53"/>
      <c r="AH53" s="21" t="str">
        <f>IFERROR(VLOOKUP(April[[#This Row],[Drug Name4]],'Data Options'!$R$1:$S$100,2,FALSE), " ")</f>
        <v xml:space="preserve"> </v>
      </c>
      <c r="AI53" s="32"/>
      <c r="AJ53" s="32"/>
      <c r="AK53" s="53"/>
      <c r="AL53" s="21" t="str">
        <f>IFERROR(VLOOKUP(April[[#This Row],[Drug Name5]],'Data Options'!$R$1:$S$100,2,FALSE), " ")</f>
        <v xml:space="preserve"> </v>
      </c>
      <c r="AM53" s="32"/>
      <c r="AN53" s="32"/>
      <c r="AO53" s="53"/>
      <c r="AP53" s="21" t="str">
        <f>IFERROR(VLOOKUP(April[[#This Row],[Drug Name6]],'Data Options'!$R$1:$S$100,2,FALSE), " ")</f>
        <v xml:space="preserve"> </v>
      </c>
      <c r="AQ53" s="32"/>
      <c r="AR53" s="32"/>
      <c r="AS53" s="32"/>
      <c r="AT53" s="32"/>
      <c r="AU53" s="32"/>
      <c r="AV53" s="31"/>
      <c r="AW53" s="31"/>
      <c r="AX53" s="53"/>
      <c r="AY53" s="21" t="str">
        <f>IFERROR(VLOOKUP(April[[#This Row],[Drug Name7]],'Data Options'!$R$1:$S$100,2,FALSE), " ")</f>
        <v xml:space="preserve"> </v>
      </c>
      <c r="AZ53" s="32"/>
      <c r="BA53" s="32"/>
      <c r="BB53" s="53"/>
      <c r="BC53" s="21" t="str">
        <f>IFERROR(VLOOKUP(April[[#This Row],[Drug Name8]],'Data Options'!$R$1:$S$100,2,FALSE), " ")</f>
        <v xml:space="preserve"> </v>
      </c>
      <c r="BD53" s="32"/>
      <c r="BE53" s="32"/>
      <c r="BF53" s="53"/>
      <c r="BG53" s="21" t="str">
        <f>IFERROR(VLOOKUP(April[[#This Row],[Drug Name9]],'Data Options'!$R$1:$S$100,2,FALSE), " ")</f>
        <v xml:space="preserve"> </v>
      </c>
      <c r="BH53" s="32"/>
      <c r="BI53" s="32"/>
    </row>
    <row r="54" spans="1:61">
      <c r="A54" s="5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53"/>
      <c r="Q54" s="21" t="str">
        <f>IFERROR(VLOOKUP(April[[#This Row],[Drug Name]],'Data Options'!$R$1:$S$100,2,FALSE), " ")</f>
        <v xml:space="preserve"> </v>
      </c>
      <c r="R54" s="32"/>
      <c r="S54" s="32"/>
      <c r="T54" s="53"/>
      <c r="U54" s="21" t="str">
        <f>IFERROR(VLOOKUP(April[[#This Row],[Drug Name2]],'Data Options'!$R$1:$S$100,2,FALSE), " ")</f>
        <v xml:space="preserve"> </v>
      </c>
      <c r="V54" s="32"/>
      <c r="W54" s="32"/>
      <c r="X54" s="53"/>
      <c r="Y54" s="21" t="str">
        <f>IFERROR(VLOOKUP(April[[#This Row],[Drug Name3]],'Data Options'!$R$1:$S$100,2,FALSE), " ")</f>
        <v xml:space="preserve"> </v>
      </c>
      <c r="Z54" s="32"/>
      <c r="AA54" s="32"/>
      <c r="AB54" s="32"/>
      <c r="AC54" s="32"/>
      <c r="AD54" s="32"/>
      <c r="AE54" s="31"/>
      <c r="AF54" s="31"/>
      <c r="AG54" s="53"/>
      <c r="AH54" s="21" t="str">
        <f>IFERROR(VLOOKUP(April[[#This Row],[Drug Name4]],'Data Options'!$R$1:$S$100,2,FALSE), " ")</f>
        <v xml:space="preserve"> </v>
      </c>
      <c r="AI54" s="32"/>
      <c r="AJ54" s="32"/>
      <c r="AK54" s="53"/>
      <c r="AL54" s="21" t="str">
        <f>IFERROR(VLOOKUP(April[[#This Row],[Drug Name5]],'Data Options'!$R$1:$S$100,2,FALSE), " ")</f>
        <v xml:space="preserve"> </v>
      </c>
      <c r="AM54" s="32"/>
      <c r="AN54" s="32"/>
      <c r="AO54" s="53"/>
      <c r="AP54" s="21" t="str">
        <f>IFERROR(VLOOKUP(April[[#This Row],[Drug Name6]],'Data Options'!$R$1:$S$100,2,FALSE), " ")</f>
        <v xml:space="preserve"> </v>
      </c>
      <c r="AQ54" s="32"/>
      <c r="AR54" s="32"/>
      <c r="AS54" s="32"/>
      <c r="AT54" s="32"/>
      <c r="AU54" s="32"/>
      <c r="AV54" s="31"/>
      <c r="AW54" s="31"/>
      <c r="AX54" s="53"/>
      <c r="AY54" s="21" t="str">
        <f>IFERROR(VLOOKUP(April[[#This Row],[Drug Name7]],'Data Options'!$R$1:$S$100,2,FALSE), " ")</f>
        <v xml:space="preserve"> </v>
      </c>
      <c r="AZ54" s="32"/>
      <c r="BA54" s="32"/>
      <c r="BB54" s="53"/>
      <c r="BC54" s="21" t="str">
        <f>IFERROR(VLOOKUP(April[[#This Row],[Drug Name8]],'Data Options'!$R$1:$S$100,2,FALSE), " ")</f>
        <v xml:space="preserve"> </v>
      </c>
      <c r="BD54" s="32"/>
      <c r="BE54" s="32"/>
      <c r="BF54" s="53"/>
      <c r="BG54" s="21" t="str">
        <f>IFERROR(VLOOKUP(April[[#This Row],[Drug Name9]],'Data Options'!$R$1:$S$100,2,FALSE), " ")</f>
        <v xml:space="preserve"> </v>
      </c>
      <c r="BH54" s="32"/>
      <c r="BI54" s="32"/>
    </row>
    <row r="55" spans="1:61">
      <c r="A55" s="5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  <c r="O55" s="31"/>
      <c r="P55" s="53"/>
      <c r="Q55" s="21" t="str">
        <f>IFERROR(VLOOKUP(April[[#This Row],[Drug Name]],'Data Options'!$R$1:$S$100,2,FALSE), " ")</f>
        <v xml:space="preserve"> </v>
      </c>
      <c r="R55" s="32"/>
      <c r="S55" s="32"/>
      <c r="T55" s="53"/>
      <c r="U55" s="21" t="str">
        <f>IFERROR(VLOOKUP(April[[#This Row],[Drug Name2]],'Data Options'!$R$1:$S$100,2,FALSE), " ")</f>
        <v xml:space="preserve"> </v>
      </c>
      <c r="V55" s="32"/>
      <c r="W55" s="32"/>
      <c r="X55" s="53"/>
      <c r="Y55" s="21" t="str">
        <f>IFERROR(VLOOKUP(April[[#This Row],[Drug Name3]],'Data Options'!$R$1:$S$100,2,FALSE), " ")</f>
        <v xml:space="preserve"> </v>
      </c>
      <c r="Z55" s="32"/>
      <c r="AA55" s="32"/>
      <c r="AB55" s="32"/>
      <c r="AC55" s="32"/>
      <c r="AD55" s="32"/>
      <c r="AE55" s="31"/>
      <c r="AF55" s="31"/>
      <c r="AG55" s="53"/>
      <c r="AH55" s="21" t="str">
        <f>IFERROR(VLOOKUP(April[[#This Row],[Drug Name4]],'Data Options'!$R$1:$S$100,2,FALSE), " ")</f>
        <v xml:space="preserve"> </v>
      </c>
      <c r="AI55" s="32"/>
      <c r="AJ55" s="32"/>
      <c r="AK55" s="53"/>
      <c r="AL55" s="21" t="str">
        <f>IFERROR(VLOOKUP(April[[#This Row],[Drug Name5]],'Data Options'!$R$1:$S$100,2,FALSE), " ")</f>
        <v xml:space="preserve"> </v>
      </c>
      <c r="AM55" s="32"/>
      <c r="AN55" s="32"/>
      <c r="AO55" s="53"/>
      <c r="AP55" s="21" t="str">
        <f>IFERROR(VLOOKUP(April[[#This Row],[Drug Name6]],'Data Options'!$R$1:$S$100,2,FALSE), " ")</f>
        <v xml:space="preserve"> </v>
      </c>
      <c r="AQ55" s="32"/>
      <c r="AR55" s="32"/>
      <c r="AS55" s="32"/>
      <c r="AT55" s="32"/>
      <c r="AU55" s="32"/>
      <c r="AV55" s="31"/>
      <c r="AW55" s="31"/>
      <c r="AX55" s="53"/>
      <c r="AY55" s="21" t="str">
        <f>IFERROR(VLOOKUP(April[[#This Row],[Drug Name7]],'Data Options'!$R$1:$S$100,2,FALSE), " ")</f>
        <v xml:space="preserve"> </v>
      </c>
      <c r="AZ55" s="32"/>
      <c r="BA55" s="32"/>
      <c r="BB55" s="53"/>
      <c r="BC55" s="21" t="str">
        <f>IFERROR(VLOOKUP(April[[#This Row],[Drug Name8]],'Data Options'!$R$1:$S$100,2,FALSE), " ")</f>
        <v xml:space="preserve"> </v>
      </c>
      <c r="BD55" s="32"/>
      <c r="BE55" s="32"/>
      <c r="BF55" s="53"/>
      <c r="BG55" s="21" t="str">
        <f>IFERROR(VLOOKUP(April[[#This Row],[Drug Name9]],'Data Options'!$R$1:$S$100,2,FALSE), " ")</f>
        <v xml:space="preserve"> </v>
      </c>
      <c r="BH55" s="32"/>
      <c r="BI55" s="32"/>
    </row>
    <row r="56" spans="1:61">
      <c r="A56" s="5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1"/>
      <c r="P56" s="53"/>
      <c r="Q56" s="21" t="str">
        <f>IFERROR(VLOOKUP(April[[#This Row],[Drug Name]],'Data Options'!$R$1:$S$100,2,FALSE), " ")</f>
        <v xml:space="preserve"> </v>
      </c>
      <c r="R56" s="32"/>
      <c r="S56" s="32"/>
      <c r="T56" s="53"/>
      <c r="U56" s="21" t="str">
        <f>IFERROR(VLOOKUP(April[[#This Row],[Drug Name2]],'Data Options'!$R$1:$S$100,2,FALSE), " ")</f>
        <v xml:space="preserve"> </v>
      </c>
      <c r="V56" s="32"/>
      <c r="W56" s="32"/>
      <c r="X56" s="53"/>
      <c r="Y56" s="21" t="str">
        <f>IFERROR(VLOOKUP(April[[#This Row],[Drug Name3]],'Data Options'!$R$1:$S$100,2,FALSE), " ")</f>
        <v xml:space="preserve"> </v>
      </c>
      <c r="Z56" s="32"/>
      <c r="AA56" s="32"/>
      <c r="AB56" s="32"/>
      <c r="AC56" s="32"/>
      <c r="AD56" s="32"/>
      <c r="AE56" s="31"/>
      <c r="AF56" s="31"/>
      <c r="AG56" s="53"/>
      <c r="AH56" s="21" t="str">
        <f>IFERROR(VLOOKUP(April[[#This Row],[Drug Name4]],'Data Options'!$R$1:$S$100,2,FALSE), " ")</f>
        <v xml:space="preserve"> </v>
      </c>
      <c r="AI56" s="32"/>
      <c r="AJ56" s="32"/>
      <c r="AK56" s="53"/>
      <c r="AL56" s="21" t="str">
        <f>IFERROR(VLOOKUP(April[[#This Row],[Drug Name5]],'Data Options'!$R$1:$S$100,2,FALSE), " ")</f>
        <v xml:space="preserve"> </v>
      </c>
      <c r="AM56" s="32"/>
      <c r="AN56" s="32"/>
      <c r="AO56" s="53"/>
      <c r="AP56" s="21" t="str">
        <f>IFERROR(VLOOKUP(April[[#This Row],[Drug Name6]],'Data Options'!$R$1:$S$100,2,FALSE), " ")</f>
        <v xml:space="preserve"> </v>
      </c>
      <c r="AQ56" s="32"/>
      <c r="AR56" s="32"/>
      <c r="AS56" s="32"/>
      <c r="AT56" s="32"/>
      <c r="AU56" s="32"/>
      <c r="AV56" s="31"/>
      <c r="AW56" s="31"/>
      <c r="AX56" s="53"/>
      <c r="AY56" s="21" t="str">
        <f>IFERROR(VLOOKUP(April[[#This Row],[Drug Name7]],'Data Options'!$R$1:$S$100,2,FALSE), " ")</f>
        <v xml:space="preserve"> </v>
      </c>
      <c r="AZ56" s="32"/>
      <c r="BA56" s="32"/>
      <c r="BB56" s="53"/>
      <c r="BC56" s="21" t="str">
        <f>IFERROR(VLOOKUP(April[[#This Row],[Drug Name8]],'Data Options'!$R$1:$S$100,2,FALSE), " ")</f>
        <v xml:space="preserve"> </v>
      </c>
      <c r="BD56" s="32"/>
      <c r="BE56" s="32"/>
      <c r="BF56" s="53"/>
      <c r="BG56" s="21" t="str">
        <f>IFERROR(VLOOKUP(April[[#This Row],[Drug Name9]],'Data Options'!$R$1:$S$100,2,FALSE), " ")</f>
        <v xml:space="preserve"> </v>
      </c>
      <c r="BH56" s="32"/>
      <c r="BI56" s="32"/>
    </row>
    <row r="57" spans="1:61">
      <c r="A57" s="5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1"/>
      <c r="O57" s="31"/>
      <c r="P57" s="53"/>
      <c r="Q57" s="21" t="str">
        <f>IFERROR(VLOOKUP(April[[#This Row],[Drug Name]],'Data Options'!$R$1:$S$100,2,FALSE), " ")</f>
        <v xml:space="preserve"> </v>
      </c>
      <c r="R57" s="32"/>
      <c r="S57" s="32"/>
      <c r="T57" s="53"/>
      <c r="U57" s="21" t="str">
        <f>IFERROR(VLOOKUP(April[[#This Row],[Drug Name2]],'Data Options'!$R$1:$S$100,2,FALSE), " ")</f>
        <v xml:space="preserve"> </v>
      </c>
      <c r="V57" s="32"/>
      <c r="W57" s="32"/>
      <c r="X57" s="53"/>
      <c r="Y57" s="21" t="str">
        <f>IFERROR(VLOOKUP(April[[#This Row],[Drug Name3]],'Data Options'!$R$1:$S$100,2,FALSE), " ")</f>
        <v xml:space="preserve"> </v>
      </c>
      <c r="Z57" s="32"/>
      <c r="AA57" s="32"/>
      <c r="AB57" s="32"/>
      <c r="AC57" s="32"/>
      <c r="AD57" s="32"/>
      <c r="AE57" s="31"/>
      <c r="AF57" s="31"/>
      <c r="AG57" s="53"/>
      <c r="AH57" s="21" t="str">
        <f>IFERROR(VLOOKUP(April[[#This Row],[Drug Name4]],'Data Options'!$R$1:$S$100,2,FALSE), " ")</f>
        <v xml:space="preserve"> </v>
      </c>
      <c r="AI57" s="32"/>
      <c r="AJ57" s="32"/>
      <c r="AK57" s="53"/>
      <c r="AL57" s="21" t="str">
        <f>IFERROR(VLOOKUP(April[[#This Row],[Drug Name5]],'Data Options'!$R$1:$S$100,2,FALSE), " ")</f>
        <v xml:space="preserve"> </v>
      </c>
      <c r="AM57" s="32"/>
      <c r="AN57" s="32"/>
      <c r="AO57" s="53"/>
      <c r="AP57" s="21" t="str">
        <f>IFERROR(VLOOKUP(April[[#This Row],[Drug Name6]],'Data Options'!$R$1:$S$100,2,FALSE), " ")</f>
        <v xml:space="preserve"> </v>
      </c>
      <c r="AQ57" s="32"/>
      <c r="AR57" s="32"/>
      <c r="AS57" s="32"/>
      <c r="AT57" s="32"/>
      <c r="AU57" s="32"/>
      <c r="AV57" s="31"/>
      <c r="AW57" s="31"/>
      <c r="AX57" s="53"/>
      <c r="AY57" s="21" t="str">
        <f>IFERROR(VLOOKUP(April[[#This Row],[Drug Name7]],'Data Options'!$R$1:$S$100,2,FALSE), " ")</f>
        <v xml:space="preserve"> </v>
      </c>
      <c r="AZ57" s="32"/>
      <c r="BA57" s="32"/>
      <c r="BB57" s="53"/>
      <c r="BC57" s="21" t="str">
        <f>IFERROR(VLOOKUP(April[[#This Row],[Drug Name8]],'Data Options'!$R$1:$S$100,2,FALSE), " ")</f>
        <v xml:space="preserve"> </v>
      </c>
      <c r="BD57" s="32"/>
      <c r="BE57" s="32"/>
      <c r="BF57" s="53"/>
      <c r="BG57" s="21" t="str">
        <f>IFERROR(VLOOKUP(April[[#This Row],[Drug Name9]],'Data Options'!$R$1:$S$100,2,FALSE), " ")</f>
        <v xml:space="preserve"> </v>
      </c>
      <c r="BH57" s="32"/>
      <c r="BI57" s="32"/>
    </row>
    <row r="58" spans="1:61">
      <c r="A58" s="5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1"/>
      <c r="O58" s="31"/>
      <c r="P58" s="53"/>
      <c r="Q58" s="21" t="str">
        <f>IFERROR(VLOOKUP(April[[#This Row],[Drug Name]],'Data Options'!$R$1:$S$100,2,FALSE), " ")</f>
        <v xml:space="preserve"> </v>
      </c>
      <c r="R58" s="32"/>
      <c r="S58" s="32"/>
      <c r="T58" s="53"/>
      <c r="U58" s="21" t="str">
        <f>IFERROR(VLOOKUP(April[[#This Row],[Drug Name2]],'Data Options'!$R$1:$S$100,2,FALSE), " ")</f>
        <v xml:space="preserve"> </v>
      </c>
      <c r="V58" s="32"/>
      <c r="W58" s="32"/>
      <c r="X58" s="53"/>
      <c r="Y58" s="21" t="str">
        <f>IFERROR(VLOOKUP(April[[#This Row],[Drug Name3]],'Data Options'!$R$1:$S$100,2,FALSE), " ")</f>
        <v xml:space="preserve"> </v>
      </c>
      <c r="Z58" s="32"/>
      <c r="AA58" s="32"/>
      <c r="AB58" s="32"/>
      <c r="AC58" s="32"/>
      <c r="AD58" s="32"/>
      <c r="AE58" s="31"/>
      <c r="AF58" s="31"/>
      <c r="AG58" s="53"/>
      <c r="AH58" s="21" t="str">
        <f>IFERROR(VLOOKUP(April[[#This Row],[Drug Name4]],'Data Options'!$R$1:$S$100,2,FALSE), " ")</f>
        <v xml:space="preserve"> </v>
      </c>
      <c r="AI58" s="32"/>
      <c r="AJ58" s="32"/>
      <c r="AK58" s="53"/>
      <c r="AL58" s="21" t="str">
        <f>IFERROR(VLOOKUP(April[[#This Row],[Drug Name5]],'Data Options'!$R$1:$S$100,2,FALSE), " ")</f>
        <v xml:space="preserve"> </v>
      </c>
      <c r="AM58" s="32"/>
      <c r="AN58" s="32"/>
      <c r="AO58" s="53"/>
      <c r="AP58" s="21" t="str">
        <f>IFERROR(VLOOKUP(April[[#This Row],[Drug Name6]],'Data Options'!$R$1:$S$100,2,FALSE), " ")</f>
        <v xml:space="preserve"> </v>
      </c>
      <c r="AQ58" s="32"/>
      <c r="AR58" s="32"/>
      <c r="AS58" s="32"/>
      <c r="AT58" s="32"/>
      <c r="AU58" s="32"/>
      <c r="AV58" s="31"/>
      <c r="AW58" s="31"/>
      <c r="AX58" s="53"/>
      <c r="AY58" s="21" t="str">
        <f>IFERROR(VLOOKUP(April[[#This Row],[Drug Name7]],'Data Options'!$R$1:$S$100,2,FALSE), " ")</f>
        <v xml:space="preserve"> </v>
      </c>
      <c r="AZ58" s="32"/>
      <c r="BA58" s="32"/>
      <c r="BB58" s="53"/>
      <c r="BC58" s="21" t="str">
        <f>IFERROR(VLOOKUP(April[[#This Row],[Drug Name8]],'Data Options'!$R$1:$S$100,2,FALSE), " ")</f>
        <v xml:space="preserve"> </v>
      </c>
      <c r="BD58" s="32"/>
      <c r="BE58" s="32"/>
      <c r="BF58" s="53"/>
      <c r="BG58" s="21" t="str">
        <f>IFERROR(VLOOKUP(April[[#This Row],[Drug Name9]],'Data Options'!$R$1:$S$100,2,FALSE), " ")</f>
        <v xml:space="preserve"> </v>
      </c>
      <c r="BH58" s="32"/>
      <c r="BI58" s="32"/>
    </row>
    <row r="59" spans="1:61">
      <c r="A59" s="5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1"/>
      <c r="O59" s="31"/>
      <c r="P59" s="53"/>
      <c r="Q59" s="21" t="str">
        <f>IFERROR(VLOOKUP(April[[#This Row],[Drug Name]],'Data Options'!$R$1:$S$100,2,FALSE), " ")</f>
        <v xml:space="preserve"> </v>
      </c>
      <c r="R59" s="32"/>
      <c r="S59" s="32"/>
      <c r="T59" s="53"/>
      <c r="U59" s="21" t="str">
        <f>IFERROR(VLOOKUP(April[[#This Row],[Drug Name2]],'Data Options'!$R$1:$S$100,2,FALSE), " ")</f>
        <v xml:space="preserve"> </v>
      </c>
      <c r="V59" s="32"/>
      <c r="W59" s="32"/>
      <c r="X59" s="53"/>
      <c r="Y59" s="21" t="str">
        <f>IFERROR(VLOOKUP(April[[#This Row],[Drug Name3]],'Data Options'!$R$1:$S$100,2,FALSE), " ")</f>
        <v xml:space="preserve"> </v>
      </c>
      <c r="Z59" s="32"/>
      <c r="AA59" s="32"/>
      <c r="AB59" s="32"/>
      <c r="AC59" s="32"/>
      <c r="AD59" s="32"/>
      <c r="AE59" s="31"/>
      <c r="AF59" s="31"/>
      <c r="AG59" s="53"/>
      <c r="AH59" s="21" t="str">
        <f>IFERROR(VLOOKUP(April[[#This Row],[Drug Name4]],'Data Options'!$R$1:$S$100,2,FALSE), " ")</f>
        <v xml:space="preserve"> </v>
      </c>
      <c r="AI59" s="32"/>
      <c r="AJ59" s="32"/>
      <c r="AK59" s="53"/>
      <c r="AL59" s="21" t="str">
        <f>IFERROR(VLOOKUP(April[[#This Row],[Drug Name5]],'Data Options'!$R$1:$S$100,2,FALSE), " ")</f>
        <v xml:space="preserve"> </v>
      </c>
      <c r="AM59" s="32"/>
      <c r="AN59" s="32"/>
      <c r="AO59" s="53"/>
      <c r="AP59" s="21" t="str">
        <f>IFERROR(VLOOKUP(April[[#This Row],[Drug Name6]],'Data Options'!$R$1:$S$100,2,FALSE), " ")</f>
        <v xml:space="preserve"> </v>
      </c>
      <c r="AQ59" s="32"/>
      <c r="AR59" s="32"/>
      <c r="AS59" s="32"/>
      <c r="AT59" s="32"/>
      <c r="AU59" s="32"/>
      <c r="AV59" s="31"/>
      <c r="AW59" s="31"/>
      <c r="AX59" s="53"/>
      <c r="AY59" s="21" t="str">
        <f>IFERROR(VLOOKUP(April[[#This Row],[Drug Name7]],'Data Options'!$R$1:$S$100,2,FALSE), " ")</f>
        <v xml:space="preserve"> </v>
      </c>
      <c r="AZ59" s="32"/>
      <c r="BA59" s="32"/>
      <c r="BB59" s="53"/>
      <c r="BC59" s="21" t="str">
        <f>IFERROR(VLOOKUP(April[[#This Row],[Drug Name8]],'Data Options'!$R$1:$S$100,2,FALSE), " ")</f>
        <v xml:space="preserve"> </v>
      </c>
      <c r="BD59" s="32"/>
      <c r="BE59" s="32"/>
      <c r="BF59" s="53"/>
      <c r="BG59" s="21" t="str">
        <f>IFERROR(VLOOKUP(April[[#This Row],[Drug Name9]],'Data Options'!$R$1:$S$100,2,FALSE), " ")</f>
        <v xml:space="preserve"> </v>
      </c>
      <c r="BH59" s="32"/>
      <c r="BI59" s="32"/>
    </row>
    <row r="60" spans="1:61">
      <c r="A60" s="5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1"/>
      <c r="O60" s="31"/>
      <c r="P60" s="53"/>
      <c r="Q60" s="21" t="str">
        <f>IFERROR(VLOOKUP(April[[#This Row],[Drug Name]],'Data Options'!$R$1:$S$100,2,FALSE), " ")</f>
        <v xml:space="preserve"> </v>
      </c>
      <c r="R60" s="32"/>
      <c r="S60" s="32"/>
      <c r="T60" s="53"/>
      <c r="U60" s="21" t="str">
        <f>IFERROR(VLOOKUP(April[[#This Row],[Drug Name2]],'Data Options'!$R$1:$S$100,2,FALSE), " ")</f>
        <v xml:space="preserve"> </v>
      </c>
      <c r="V60" s="32"/>
      <c r="W60" s="32"/>
      <c r="X60" s="53"/>
      <c r="Y60" s="21" t="str">
        <f>IFERROR(VLOOKUP(April[[#This Row],[Drug Name3]],'Data Options'!$R$1:$S$100,2,FALSE), " ")</f>
        <v xml:space="preserve"> </v>
      </c>
      <c r="Z60" s="32"/>
      <c r="AA60" s="32"/>
      <c r="AB60" s="32"/>
      <c r="AC60" s="32"/>
      <c r="AD60" s="32"/>
      <c r="AE60" s="31"/>
      <c r="AF60" s="31"/>
      <c r="AG60" s="53"/>
      <c r="AH60" s="21" t="str">
        <f>IFERROR(VLOOKUP(April[[#This Row],[Drug Name4]],'Data Options'!$R$1:$S$100,2,FALSE), " ")</f>
        <v xml:space="preserve"> </v>
      </c>
      <c r="AI60" s="32"/>
      <c r="AJ60" s="32"/>
      <c r="AK60" s="53"/>
      <c r="AL60" s="21" t="str">
        <f>IFERROR(VLOOKUP(April[[#This Row],[Drug Name5]],'Data Options'!$R$1:$S$100,2,FALSE), " ")</f>
        <v xml:space="preserve"> </v>
      </c>
      <c r="AM60" s="32"/>
      <c r="AN60" s="32"/>
      <c r="AO60" s="53"/>
      <c r="AP60" s="21" t="str">
        <f>IFERROR(VLOOKUP(April[[#This Row],[Drug Name6]],'Data Options'!$R$1:$S$100,2,FALSE), " ")</f>
        <v xml:space="preserve"> </v>
      </c>
      <c r="AQ60" s="32"/>
      <c r="AR60" s="32"/>
      <c r="AS60" s="32"/>
      <c r="AT60" s="32"/>
      <c r="AU60" s="32"/>
      <c r="AV60" s="31"/>
      <c r="AW60" s="31"/>
      <c r="AX60" s="53"/>
      <c r="AY60" s="21" t="str">
        <f>IFERROR(VLOOKUP(April[[#This Row],[Drug Name7]],'Data Options'!$R$1:$S$100,2,FALSE), " ")</f>
        <v xml:space="preserve"> </v>
      </c>
      <c r="AZ60" s="32"/>
      <c r="BA60" s="32"/>
      <c r="BB60" s="53"/>
      <c r="BC60" s="21" t="str">
        <f>IFERROR(VLOOKUP(April[[#This Row],[Drug Name8]],'Data Options'!$R$1:$S$100,2,FALSE), " ")</f>
        <v xml:space="preserve"> </v>
      </c>
      <c r="BD60" s="32"/>
      <c r="BE60" s="32"/>
      <c r="BF60" s="53"/>
      <c r="BG60" s="21" t="str">
        <f>IFERROR(VLOOKUP(April[[#This Row],[Drug Name9]],'Data Options'!$R$1:$S$100,2,FALSE), " ")</f>
        <v xml:space="preserve"> </v>
      </c>
      <c r="BH60" s="32"/>
      <c r="BI60" s="32"/>
    </row>
    <row r="61" spans="1:61">
      <c r="A61" s="5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1"/>
      <c r="O61" s="31"/>
      <c r="P61" s="53"/>
      <c r="Q61" s="21" t="str">
        <f>IFERROR(VLOOKUP(April[[#This Row],[Drug Name]],'Data Options'!$R$1:$S$100,2,FALSE), " ")</f>
        <v xml:space="preserve"> </v>
      </c>
      <c r="R61" s="32"/>
      <c r="S61" s="32"/>
      <c r="T61" s="53"/>
      <c r="U61" s="21" t="str">
        <f>IFERROR(VLOOKUP(April[[#This Row],[Drug Name2]],'Data Options'!$R$1:$S$100,2,FALSE), " ")</f>
        <v xml:space="preserve"> </v>
      </c>
      <c r="V61" s="32"/>
      <c r="W61" s="32"/>
      <c r="X61" s="53"/>
      <c r="Y61" s="21" t="str">
        <f>IFERROR(VLOOKUP(April[[#This Row],[Drug Name3]],'Data Options'!$R$1:$S$100,2,FALSE), " ")</f>
        <v xml:space="preserve"> </v>
      </c>
      <c r="Z61" s="32"/>
      <c r="AA61" s="32"/>
      <c r="AB61" s="32"/>
      <c r="AC61" s="32"/>
      <c r="AD61" s="32"/>
      <c r="AE61" s="31"/>
      <c r="AF61" s="31"/>
      <c r="AG61" s="53"/>
      <c r="AH61" s="21" t="str">
        <f>IFERROR(VLOOKUP(April[[#This Row],[Drug Name4]],'Data Options'!$R$1:$S$100,2,FALSE), " ")</f>
        <v xml:space="preserve"> </v>
      </c>
      <c r="AI61" s="32"/>
      <c r="AJ61" s="32"/>
      <c r="AK61" s="53"/>
      <c r="AL61" s="21" t="str">
        <f>IFERROR(VLOOKUP(April[[#This Row],[Drug Name5]],'Data Options'!$R$1:$S$100,2,FALSE), " ")</f>
        <v xml:space="preserve"> </v>
      </c>
      <c r="AM61" s="32"/>
      <c r="AN61" s="32"/>
      <c r="AO61" s="53"/>
      <c r="AP61" s="21" t="str">
        <f>IFERROR(VLOOKUP(April[[#This Row],[Drug Name6]],'Data Options'!$R$1:$S$100,2,FALSE), " ")</f>
        <v xml:space="preserve"> </v>
      </c>
      <c r="AQ61" s="32"/>
      <c r="AR61" s="32"/>
      <c r="AS61" s="32"/>
      <c r="AT61" s="32"/>
      <c r="AU61" s="32"/>
      <c r="AV61" s="31"/>
      <c r="AW61" s="31"/>
      <c r="AX61" s="53"/>
      <c r="AY61" s="21" t="str">
        <f>IFERROR(VLOOKUP(April[[#This Row],[Drug Name7]],'Data Options'!$R$1:$S$100,2,FALSE), " ")</f>
        <v xml:space="preserve"> </v>
      </c>
      <c r="AZ61" s="32"/>
      <c r="BA61" s="32"/>
      <c r="BB61" s="53"/>
      <c r="BC61" s="21" t="str">
        <f>IFERROR(VLOOKUP(April[[#This Row],[Drug Name8]],'Data Options'!$R$1:$S$100,2,FALSE), " ")</f>
        <v xml:space="preserve"> </v>
      </c>
      <c r="BD61" s="32"/>
      <c r="BE61" s="32"/>
      <c r="BF61" s="53"/>
      <c r="BG61" s="21" t="str">
        <f>IFERROR(VLOOKUP(April[[#This Row],[Drug Name9]],'Data Options'!$R$1:$S$100,2,FALSE), " ")</f>
        <v xml:space="preserve"> </v>
      </c>
      <c r="BH61" s="32"/>
      <c r="BI61" s="32"/>
    </row>
    <row r="62" spans="1:61">
      <c r="A62" s="5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1"/>
      <c r="O62" s="31"/>
      <c r="P62" s="53"/>
      <c r="Q62" s="21" t="str">
        <f>IFERROR(VLOOKUP(April[[#This Row],[Drug Name]],'Data Options'!$R$1:$S$100,2,FALSE), " ")</f>
        <v xml:space="preserve"> </v>
      </c>
      <c r="R62" s="32"/>
      <c r="S62" s="32"/>
      <c r="T62" s="53"/>
      <c r="U62" s="21" t="str">
        <f>IFERROR(VLOOKUP(April[[#This Row],[Drug Name2]],'Data Options'!$R$1:$S$100,2,FALSE), " ")</f>
        <v xml:space="preserve"> </v>
      </c>
      <c r="V62" s="32"/>
      <c r="W62" s="32"/>
      <c r="X62" s="53"/>
      <c r="Y62" s="21" t="str">
        <f>IFERROR(VLOOKUP(April[[#This Row],[Drug Name3]],'Data Options'!$R$1:$S$100,2,FALSE), " ")</f>
        <v xml:space="preserve"> </v>
      </c>
      <c r="Z62" s="32"/>
      <c r="AA62" s="32"/>
      <c r="AB62" s="32"/>
      <c r="AC62" s="32"/>
      <c r="AD62" s="32"/>
      <c r="AE62" s="31"/>
      <c r="AF62" s="31"/>
      <c r="AG62" s="53"/>
      <c r="AH62" s="21" t="str">
        <f>IFERROR(VLOOKUP(April[[#This Row],[Drug Name4]],'Data Options'!$R$1:$S$100,2,FALSE), " ")</f>
        <v xml:space="preserve"> </v>
      </c>
      <c r="AI62" s="32"/>
      <c r="AJ62" s="32"/>
      <c r="AK62" s="53"/>
      <c r="AL62" s="21" t="str">
        <f>IFERROR(VLOOKUP(April[[#This Row],[Drug Name5]],'Data Options'!$R$1:$S$100,2,FALSE), " ")</f>
        <v xml:space="preserve"> </v>
      </c>
      <c r="AM62" s="32"/>
      <c r="AN62" s="32"/>
      <c r="AO62" s="53"/>
      <c r="AP62" s="21" t="str">
        <f>IFERROR(VLOOKUP(April[[#This Row],[Drug Name6]],'Data Options'!$R$1:$S$100,2,FALSE), " ")</f>
        <v xml:space="preserve"> </v>
      </c>
      <c r="AQ62" s="32"/>
      <c r="AR62" s="32"/>
      <c r="AS62" s="32"/>
      <c r="AT62" s="32"/>
      <c r="AU62" s="32"/>
      <c r="AV62" s="31"/>
      <c r="AW62" s="31"/>
      <c r="AX62" s="53"/>
      <c r="AY62" s="21" t="str">
        <f>IFERROR(VLOOKUP(April[[#This Row],[Drug Name7]],'Data Options'!$R$1:$S$100,2,FALSE), " ")</f>
        <v xml:space="preserve"> </v>
      </c>
      <c r="AZ62" s="32"/>
      <c r="BA62" s="32"/>
      <c r="BB62" s="53"/>
      <c r="BC62" s="21" t="str">
        <f>IFERROR(VLOOKUP(April[[#This Row],[Drug Name8]],'Data Options'!$R$1:$S$100,2,FALSE), " ")</f>
        <v xml:space="preserve"> </v>
      </c>
      <c r="BD62" s="32"/>
      <c r="BE62" s="32"/>
      <c r="BF62" s="53"/>
      <c r="BG62" s="21" t="str">
        <f>IFERROR(VLOOKUP(April[[#This Row],[Drug Name9]],'Data Options'!$R$1:$S$100,2,FALSE), " ")</f>
        <v xml:space="preserve"> </v>
      </c>
      <c r="BH62" s="32"/>
      <c r="BI62" s="32"/>
    </row>
    <row r="63" spans="1:61">
      <c r="A63" s="5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1"/>
      <c r="O63" s="31"/>
      <c r="P63" s="53"/>
      <c r="Q63" s="21" t="str">
        <f>IFERROR(VLOOKUP(April[[#This Row],[Drug Name]],'Data Options'!$R$1:$S$100,2,FALSE), " ")</f>
        <v xml:space="preserve"> </v>
      </c>
      <c r="R63" s="32"/>
      <c r="S63" s="32"/>
      <c r="T63" s="53"/>
      <c r="U63" s="21" t="str">
        <f>IFERROR(VLOOKUP(April[[#This Row],[Drug Name2]],'Data Options'!$R$1:$S$100,2,FALSE), " ")</f>
        <v xml:space="preserve"> </v>
      </c>
      <c r="V63" s="32"/>
      <c r="W63" s="32"/>
      <c r="X63" s="53"/>
      <c r="Y63" s="21" t="str">
        <f>IFERROR(VLOOKUP(April[[#This Row],[Drug Name3]],'Data Options'!$R$1:$S$100,2,FALSE), " ")</f>
        <v xml:space="preserve"> </v>
      </c>
      <c r="Z63" s="32"/>
      <c r="AA63" s="32"/>
      <c r="AB63" s="32"/>
      <c r="AC63" s="32"/>
      <c r="AD63" s="32"/>
      <c r="AE63" s="31"/>
      <c r="AF63" s="31"/>
      <c r="AG63" s="53"/>
      <c r="AH63" s="21" t="str">
        <f>IFERROR(VLOOKUP(April[[#This Row],[Drug Name4]],'Data Options'!$R$1:$S$100,2,FALSE), " ")</f>
        <v xml:space="preserve"> </v>
      </c>
      <c r="AI63" s="32"/>
      <c r="AJ63" s="32"/>
      <c r="AK63" s="53"/>
      <c r="AL63" s="21" t="str">
        <f>IFERROR(VLOOKUP(April[[#This Row],[Drug Name5]],'Data Options'!$R$1:$S$100,2,FALSE), " ")</f>
        <v xml:space="preserve"> </v>
      </c>
      <c r="AM63" s="32"/>
      <c r="AN63" s="32"/>
      <c r="AO63" s="53"/>
      <c r="AP63" s="21" t="str">
        <f>IFERROR(VLOOKUP(April[[#This Row],[Drug Name6]],'Data Options'!$R$1:$S$100,2,FALSE), " ")</f>
        <v xml:space="preserve"> </v>
      </c>
      <c r="AQ63" s="32"/>
      <c r="AR63" s="32"/>
      <c r="AS63" s="32"/>
      <c r="AT63" s="32"/>
      <c r="AU63" s="32"/>
      <c r="AV63" s="31"/>
      <c r="AW63" s="31"/>
      <c r="AX63" s="53"/>
      <c r="AY63" s="21" t="str">
        <f>IFERROR(VLOOKUP(April[[#This Row],[Drug Name7]],'Data Options'!$R$1:$S$100,2,FALSE), " ")</f>
        <v xml:space="preserve"> </v>
      </c>
      <c r="AZ63" s="32"/>
      <c r="BA63" s="32"/>
      <c r="BB63" s="53"/>
      <c r="BC63" s="21" t="str">
        <f>IFERROR(VLOOKUP(April[[#This Row],[Drug Name8]],'Data Options'!$R$1:$S$100,2,FALSE), " ")</f>
        <v xml:space="preserve"> </v>
      </c>
      <c r="BD63" s="32"/>
      <c r="BE63" s="32"/>
      <c r="BF63" s="53"/>
      <c r="BG63" s="21" t="str">
        <f>IFERROR(VLOOKUP(April[[#This Row],[Drug Name9]],'Data Options'!$R$1:$S$100,2,FALSE), " ")</f>
        <v xml:space="preserve"> </v>
      </c>
      <c r="BH63" s="32"/>
      <c r="BI63" s="32"/>
    </row>
    <row r="64" spans="1:61">
      <c r="A64" s="5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1"/>
      <c r="O64" s="31"/>
      <c r="P64" s="53"/>
      <c r="Q64" s="21" t="str">
        <f>IFERROR(VLOOKUP(April[[#This Row],[Drug Name]],'Data Options'!$R$1:$S$100,2,FALSE), " ")</f>
        <v xml:space="preserve"> </v>
      </c>
      <c r="R64" s="32"/>
      <c r="S64" s="32"/>
      <c r="T64" s="53"/>
      <c r="U64" s="21" t="str">
        <f>IFERROR(VLOOKUP(April[[#This Row],[Drug Name2]],'Data Options'!$R$1:$S$100,2,FALSE), " ")</f>
        <v xml:space="preserve"> </v>
      </c>
      <c r="V64" s="32"/>
      <c r="W64" s="32"/>
      <c r="X64" s="53"/>
      <c r="Y64" s="21" t="str">
        <f>IFERROR(VLOOKUP(April[[#This Row],[Drug Name3]],'Data Options'!$R$1:$S$100,2,FALSE), " ")</f>
        <v xml:space="preserve"> </v>
      </c>
      <c r="Z64" s="32"/>
      <c r="AA64" s="32"/>
      <c r="AB64" s="32"/>
      <c r="AC64" s="32"/>
      <c r="AD64" s="32"/>
      <c r="AE64" s="31"/>
      <c r="AF64" s="31"/>
      <c r="AG64" s="53"/>
      <c r="AH64" s="21" t="str">
        <f>IFERROR(VLOOKUP(April[[#This Row],[Drug Name4]],'Data Options'!$R$1:$S$100,2,FALSE), " ")</f>
        <v xml:space="preserve"> </v>
      </c>
      <c r="AI64" s="32"/>
      <c r="AJ64" s="32"/>
      <c r="AK64" s="53"/>
      <c r="AL64" s="21" t="str">
        <f>IFERROR(VLOOKUP(April[[#This Row],[Drug Name5]],'Data Options'!$R$1:$S$100,2,FALSE), " ")</f>
        <v xml:space="preserve"> </v>
      </c>
      <c r="AM64" s="32"/>
      <c r="AN64" s="32"/>
      <c r="AO64" s="53"/>
      <c r="AP64" s="21" t="str">
        <f>IFERROR(VLOOKUP(April[[#This Row],[Drug Name6]],'Data Options'!$R$1:$S$100,2,FALSE), " ")</f>
        <v xml:space="preserve"> </v>
      </c>
      <c r="AQ64" s="32"/>
      <c r="AR64" s="32"/>
      <c r="AS64" s="32"/>
      <c r="AT64" s="32"/>
      <c r="AU64" s="32"/>
      <c r="AV64" s="31"/>
      <c r="AW64" s="31"/>
      <c r="AX64" s="53"/>
      <c r="AY64" s="21" t="str">
        <f>IFERROR(VLOOKUP(April[[#This Row],[Drug Name7]],'Data Options'!$R$1:$S$100,2,FALSE), " ")</f>
        <v xml:space="preserve"> </v>
      </c>
      <c r="AZ64" s="32"/>
      <c r="BA64" s="32"/>
      <c r="BB64" s="53"/>
      <c r="BC64" s="21" t="str">
        <f>IFERROR(VLOOKUP(April[[#This Row],[Drug Name8]],'Data Options'!$R$1:$S$100,2,FALSE), " ")</f>
        <v xml:space="preserve"> </v>
      </c>
      <c r="BD64" s="32"/>
      <c r="BE64" s="32"/>
      <c r="BF64" s="53"/>
      <c r="BG64" s="21" t="str">
        <f>IFERROR(VLOOKUP(April[[#This Row],[Drug Name9]],'Data Options'!$R$1:$S$100,2,FALSE), " ")</f>
        <v xml:space="preserve"> </v>
      </c>
      <c r="BH64" s="32"/>
      <c r="BI64" s="32"/>
    </row>
    <row r="65" spans="1:61">
      <c r="A65" s="5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1"/>
      <c r="O65" s="31"/>
      <c r="P65" s="53"/>
      <c r="Q65" s="21" t="str">
        <f>IFERROR(VLOOKUP(April[[#This Row],[Drug Name]],'Data Options'!$R$1:$S$100,2,FALSE), " ")</f>
        <v xml:space="preserve"> </v>
      </c>
      <c r="R65" s="32"/>
      <c r="S65" s="32"/>
      <c r="T65" s="53"/>
      <c r="U65" s="21" t="str">
        <f>IFERROR(VLOOKUP(April[[#This Row],[Drug Name2]],'Data Options'!$R$1:$S$100,2,FALSE), " ")</f>
        <v xml:space="preserve"> </v>
      </c>
      <c r="V65" s="32"/>
      <c r="W65" s="32"/>
      <c r="X65" s="53"/>
      <c r="Y65" s="21" t="str">
        <f>IFERROR(VLOOKUP(April[[#This Row],[Drug Name3]],'Data Options'!$R$1:$S$100,2,FALSE), " ")</f>
        <v xml:space="preserve"> </v>
      </c>
      <c r="Z65" s="32"/>
      <c r="AA65" s="32"/>
      <c r="AB65" s="32"/>
      <c r="AC65" s="32"/>
      <c r="AD65" s="32"/>
      <c r="AE65" s="31"/>
      <c r="AF65" s="31"/>
      <c r="AG65" s="53"/>
      <c r="AH65" s="21" t="str">
        <f>IFERROR(VLOOKUP(April[[#This Row],[Drug Name4]],'Data Options'!$R$1:$S$100,2,FALSE), " ")</f>
        <v xml:space="preserve"> </v>
      </c>
      <c r="AI65" s="32"/>
      <c r="AJ65" s="32"/>
      <c r="AK65" s="53"/>
      <c r="AL65" s="21" t="str">
        <f>IFERROR(VLOOKUP(April[[#This Row],[Drug Name5]],'Data Options'!$R$1:$S$100,2,FALSE), " ")</f>
        <v xml:space="preserve"> </v>
      </c>
      <c r="AM65" s="32"/>
      <c r="AN65" s="32"/>
      <c r="AO65" s="53"/>
      <c r="AP65" s="21" t="str">
        <f>IFERROR(VLOOKUP(April[[#This Row],[Drug Name6]],'Data Options'!$R$1:$S$100,2,FALSE), " ")</f>
        <v xml:space="preserve"> </v>
      </c>
      <c r="AQ65" s="32"/>
      <c r="AR65" s="32"/>
      <c r="AS65" s="32"/>
      <c r="AT65" s="32"/>
      <c r="AU65" s="32"/>
      <c r="AV65" s="31"/>
      <c r="AW65" s="31"/>
      <c r="AX65" s="53"/>
      <c r="AY65" s="21" t="str">
        <f>IFERROR(VLOOKUP(April[[#This Row],[Drug Name7]],'Data Options'!$R$1:$S$100,2,FALSE), " ")</f>
        <v xml:space="preserve"> </v>
      </c>
      <c r="AZ65" s="32"/>
      <c r="BA65" s="32"/>
      <c r="BB65" s="53"/>
      <c r="BC65" s="21" t="str">
        <f>IFERROR(VLOOKUP(April[[#This Row],[Drug Name8]],'Data Options'!$R$1:$S$100,2,FALSE), " ")</f>
        <v xml:space="preserve"> </v>
      </c>
      <c r="BD65" s="32"/>
      <c r="BE65" s="32"/>
      <c r="BF65" s="53"/>
      <c r="BG65" s="21" t="str">
        <f>IFERROR(VLOOKUP(April[[#This Row],[Drug Name9]],'Data Options'!$R$1:$S$100,2,FALSE), " ")</f>
        <v xml:space="preserve"> </v>
      </c>
      <c r="BH65" s="32"/>
      <c r="BI65" s="32"/>
    </row>
    <row r="66" spans="1:61">
      <c r="A66" s="5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1"/>
      <c r="O66" s="31"/>
      <c r="P66" s="53"/>
      <c r="Q66" s="21" t="str">
        <f>IFERROR(VLOOKUP(April[[#This Row],[Drug Name]],'Data Options'!$R$1:$S$100,2,FALSE), " ")</f>
        <v xml:space="preserve"> </v>
      </c>
      <c r="R66" s="32"/>
      <c r="S66" s="32"/>
      <c r="T66" s="53"/>
      <c r="U66" s="21" t="str">
        <f>IFERROR(VLOOKUP(April[[#This Row],[Drug Name2]],'Data Options'!$R$1:$S$100,2,FALSE), " ")</f>
        <v xml:space="preserve"> </v>
      </c>
      <c r="V66" s="32"/>
      <c r="W66" s="32"/>
      <c r="X66" s="53"/>
      <c r="Y66" s="21" t="str">
        <f>IFERROR(VLOOKUP(April[[#This Row],[Drug Name3]],'Data Options'!$R$1:$S$100,2,FALSE), " ")</f>
        <v xml:space="preserve"> </v>
      </c>
      <c r="Z66" s="32"/>
      <c r="AA66" s="32"/>
      <c r="AB66" s="32"/>
      <c r="AC66" s="32"/>
      <c r="AD66" s="32"/>
      <c r="AE66" s="31"/>
      <c r="AF66" s="31"/>
      <c r="AG66" s="53"/>
      <c r="AH66" s="21" t="str">
        <f>IFERROR(VLOOKUP(April[[#This Row],[Drug Name4]],'Data Options'!$R$1:$S$100,2,FALSE), " ")</f>
        <v xml:space="preserve"> </v>
      </c>
      <c r="AI66" s="32"/>
      <c r="AJ66" s="32"/>
      <c r="AK66" s="53"/>
      <c r="AL66" s="21" t="str">
        <f>IFERROR(VLOOKUP(April[[#This Row],[Drug Name5]],'Data Options'!$R$1:$S$100,2,FALSE), " ")</f>
        <v xml:space="preserve"> </v>
      </c>
      <c r="AM66" s="32"/>
      <c r="AN66" s="32"/>
      <c r="AO66" s="53"/>
      <c r="AP66" s="21" t="str">
        <f>IFERROR(VLOOKUP(April[[#This Row],[Drug Name6]],'Data Options'!$R$1:$S$100,2,FALSE), " ")</f>
        <v xml:space="preserve"> </v>
      </c>
      <c r="AQ66" s="32"/>
      <c r="AR66" s="32"/>
      <c r="AS66" s="32"/>
      <c r="AT66" s="32"/>
      <c r="AU66" s="32"/>
      <c r="AV66" s="31"/>
      <c r="AW66" s="31"/>
      <c r="AX66" s="53"/>
      <c r="AY66" s="21" t="str">
        <f>IFERROR(VLOOKUP(April[[#This Row],[Drug Name7]],'Data Options'!$R$1:$S$100,2,FALSE), " ")</f>
        <v xml:space="preserve"> </v>
      </c>
      <c r="AZ66" s="32"/>
      <c r="BA66" s="32"/>
      <c r="BB66" s="53"/>
      <c r="BC66" s="21" t="str">
        <f>IFERROR(VLOOKUP(April[[#This Row],[Drug Name8]],'Data Options'!$R$1:$S$100,2,FALSE), " ")</f>
        <v xml:space="preserve"> </v>
      </c>
      <c r="BD66" s="32"/>
      <c r="BE66" s="32"/>
      <c r="BF66" s="53"/>
      <c r="BG66" s="21" t="str">
        <f>IFERROR(VLOOKUP(April[[#This Row],[Drug Name9]],'Data Options'!$R$1:$S$100,2,FALSE), " ")</f>
        <v xml:space="preserve"> </v>
      </c>
      <c r="BH66" s="32"/>
      <c r="BI66" s="32"/>
    </row>
    <row r="67" spans="1:61">
      <c r="A67" s="5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1"/>
      <c r="O67" s="31"/>
      <c r="P67" s="53"/>
      <c r="Q67" s="21" t="str">
        <f>IFERROR(VLOOKUP(April[[#This Row],[Drug Name]],'Data Options'!$R$1:$S$100,2,FALSE), " ")</f>
        <v xml:space="preserve"> </v>
      </c>
      <c r="R67" s="32"/>
      <c r="S67" s="32"/>
      <c r="T67" s="53"/>
      <c r="U67" s="21" t="str">
        <f>IFERROR(VLOOKUP(April[[#This Row],[Drug Name2]],'Data Options'!$R$1:$S$100,2,FALSE), " ")</f>
        <v xml:space="preserve"> </v>
      </c>
      <c r="V67" s="32"/>
      <c r="W67" s="32"/>
      <c r="X67" s="53"/>
      <c r="Y67" s="21" t="str">
        <f>IFERROR(VLOOKUP(April[[#This Row],[Drug Name3]],'Data Options'!$R$1:$S$100,2,FALSE), " ")</f>
        <v xml:space="preserve"> </v>
      </c>
      <c r="Z67" s="32"/>
      <c r="AA67" s="32"/>
      <c r="AB67" s="32"/>
      <c r="AC67" s="32"/>
      <c r="AD67" s="32"/>
      <c r="AE67" s="31"/>
      <c r="AF67" s="31"/>
      <c r="AG67" s="53"/>
      <c r="AH67" s="21" t="str">
        <f>IFERROR(VLOOKUP(April[[#This Row],[Drug Name4]],'Data Options'!$R$1:$S$100,2,FALSE), " ")</f>
        <v xml:space="preserve"> </v>
      </c>
      <c r="AI67" s="32"/>
      <c r="AJ67" s="32"/>
      <c r="AK67" s="53"/>
      <c r="AL67" s="21" t="str">
        <f>IFERROR(VLOOKUP(April[[#This Row],[Drug Name5]],'Data Options'!$R$1:$S$100,2,FALSE), " ")</f>
        <v xml:space="preserve"> </v>
      </c>
      <c r="AM67" s="32"/>
      <c r="AN67" s="32"/>
      <c r="AO67" s="53"/>
      <c r="AP67" s="21" t="str">
        <f>IFERROR(VLOOKUP(April[[#This Row],[Drug Name6]],'Data Options'!$R$1:$S$100,2,FALSE), " ")</f>
        <v xml:space="preserve"> </v>
      </c>
      <c r="AQ67" s="32"/>
      <c r="AR67" s="32"/>
      <c r="AS67" s="32"/>
      <c r="AT67" s="32"/>
      <c r="AU67" s="32"/>
      <c r="AV67" s="31"/>
      <c r="AW67" s="31"/>
      <c r="AX67" s="53"/>
      <c r="AY67" s="21" t="str">
        <f>IFERROR(VLOOKUP(April[[#This Row],[Drug Name7]],'Data Options'!$R$1:$S$100,2,FALSE), " ")</f>
        <v xml:space="preserve"> </v>
      </c>
      <c r="AZ67" s="32"/>
      <c r="BA67" s="32"/>
      <c r="BB67" s="53"/>
      <c r="BC67" s="21" t="str">
        <f>IFERROR(VLOOKUP(April[[#This Row],[Drug Name8]],'Data Options'!$R$1:$S$100,2,FALSE), " ")</f>
        <v xml:space="preserve"> </v>
      </c>
      <c r="BD67" s="32"/>
      <c r="BE67" s="32"/>
      <c r="BF67" s="53"/>
      <c r="BG67" s="21" t="str">
        <f>IFERROR(VLOOKUP(April[[#This Row],[Drug Name9]],'Data Options'!$R$1:$S$100,2,FALSE), " ")</f>
        <v xml:space="preserve"> </v>
      </c>
      <c r="BH67" s="32"/>
      <c r="BI67" s="32"/>
    </row>
    <row r="68" spans="1:61">
      <c r="A68" s="5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/>
      <c r="O68" s="31"/>
      <c r="P68" s="53"/>
      <c r="Q68" s="21" t="str">
        <f>IFERROR(VLOOKUP(April[[#This Row],[Drug Name]],'Data Options'!$R$1:$S$100,2,FALSE), " ")</f>
        <v xml:space="preserve"> </v>
      </c>
      <c r="R68" s="32"/>
      <c r="S68" s="32"/>
      <c r="T68" s="53"/>
      <c r="U68" s="21" t="str">
        <f>IFERROR(VLOOKUP(April[[#This Row],[Drug Name2]],'Data Options'!$R$1:$S$100,2,FALSE), " ")</f>
        <v xml:space="preserve"> </v>
      </c>
      <c r="V68" s="32"/>
      <c r="W68" s="32"/>
      <c r="X68" s="53"/>
      <c r="Y68" s="21" t="str">
        <f>IFERROR(VLOOKUP(April[[#This Row],[Drug Name3]],'Data Options'!$R$1:$S$100,2,FALSE), " ")</f>
        <v xml:space="preserve"> </v>
      </c>
      <c r="Z68" s="32"/>
      <c r="AA68" s="32"/>
      <c r="AB68" s="32"/>
      <c r="AC68" s="32"/>
      <c r="AD68" s="32"/>
      <c r="AE68" s="31"/>
      <c r="AF68" s="31"/>
      <c r="AG68" s="53"/>
      <c r="AH68" s="21" t="str">
        <f>IFERROR(VLOOKUP(April[[#This Row],[Drug Name4]],'Data Options'!$R$1:$S$100,2,FALSE), " ")</f>
        <v xml:space="preserve"> </v>
      </c>
      <c r="AI68" s="32"/>
      <c r="AJ68" s="32"/>
      <c r="AK68" s="53"/>
      <c r="AL68" s="21" t="str">
        <f>IFERROR(VLOOKUP(April[[#This Row],[Drug Name5]],'Data Options'!$R$1:$S$100,2,FALSE), " ")</f>
        <v xml:space="preserve"> </v>
      </c>
      <c r="AM68" s="32"/>
      <c r="AN68" s="32"/>
      <c r="AO68" s="53"/>
      <c r="AP68" s="21" t="str">
        <f>IFERROR(VLOOKUP(April[[#This Row],[Drug Name6]],'Data Options'!$R$1:$S$100,2,FALSE), " ")</f>
        <v xml:space="preserve"> </v>
      </c>
      <c r="AQ68" s="32"/>
      <c r="AR68" s="32"/>
      <c r="AS68" s="32"/>
      <c r="AT68" s="32"/>
      <c r="AU68" s="32"/>
      <c r="AV68" s="31"/>
      <c r="AW68" s="31"/>
      <c r="AX68" s="53"/>
      <c r="AY68" s="21" t="str">
        <f>IFERROR(VLOOKUP(April[[#This Row],[Drug Name7]],'Data Options'!$R$1:$S$100,2,FALSE), " ")</f>
        <v xml:space="preserve"> </v>
      </c>
      <c r="AZ68" s="32"/>
      <c r="BA68" s="32"/>
      <c r="BB68" s="53"/>
      <c r="BC68" s="21" t="str">
        <f>IFERROR(VLOOKUP(April[[#This Row],[Drug Name8]],'Data Options'!$R$1:$S$100,2,FALSE), " ")</f>
        <v xml:space="preserve"> </v>
      </c>
      <c r="BD68" s="32"/>
      <c r="BE68" s="32"/>
      <c r="BF68" s="53"/>
      <c r="BG68" s="21" t="str">
        <f>IFERROR(VLOOKUP(April[[#This Row],[Drug Name9]],'Data Options'!$R$1:$S$100,2,FALSE), " ")</f>
        <v xml:space="preserve"> </v>
      </c>
      <c r="BH68" s="32"/>
      <c r="BI68" s="32"/>
    </row>
    <row r="69" spans="1:61">
      <c r="A69" s="5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1"/>
      <c r="O69" s="31"/>
      <c r="P69" s="53"/>
      <c r="Q69" s="21" t="str">
        <f>IFERROR(VLOOKUP(April[[#This Row],[Drug Name]],'Data Options'!$R$1:$S$100,2,FALSE), " ")</f>
        <v xml:space="preserve"> </v>
      </c>
      <c r="R69" s="32"/>
      <c r="S69" s="32"/>
      <c r="T69" s="53"/>
      <c r="U69" s="21" t="str">
        <f>IFERROR(VLOOKUP(April[[#This Row],[Drug Name2]],'Data Options'!$R$1:$S$100,2,FALSE), " ")</f>
        <v xml:space="preserve"> </v>
      </c>
      <c r="V69" s="32"/>
      <c r="W69" s="32"/>
      <c r="X69" s="53"/>
      <c r="Y69" s="21" t="str">
        <f>IFERROR(VLOOKUP(April[[#This Row],[Drug Name3]],'Data Options'!$R$1:$S$100,2,FALSE), " ")</f>
        <v xml:space="preserve"> </v>
      </c>
      <c r="Z69" s="32"/>
      <c r="AA69" s="32"/>
      <c r="AB69" s="32"/>
      <c r="AC69" s="32"/>
      <c r="AD69" s="32"/>
      <c r="AE69" s="31"/>
      <c r="AF69" s="31"/>
      <c r="AG69" s="53"/>
      <c r="AH69" s="21" t="str">
        <f>IFERROR(VLOOKUP(April[[#This Row],[Drug Name4]],'Data Options'!$R$1:$S$100,2,FALSE), " ")</f>
        <v xml:space="preserve"> </v>
      </c>
      <c r="AI69" s="32"/>
      <c r="AJ69" s="32"/>
      <c r="AK69" s="53"/>
      <c r="AL69" s="21" t="str">
        <f>IFERROR(VLOOKUP(April[[#This Row],[Drug Name5]],'Data Options'!$R$1:$S$100,2,FALSE), " ")</f>
        <v xml:space="preserve"> </v>
      </c>
      <c r="AM69" s="32"/>
      <c r="AN69" s="32"/>
      <c r="AO69" s="53"/>
      <c r="AP69" s="21" t="str">
        <f>IFERROR(VLOOKUP(April[[#This Row],[Drug Name6]],'Data Options'!$R$1:$S$100,2,FALSE), " ")</f>
        <v xml:space="preserve"> </v>
      </c>
      <c r="AQ69" s="32"/>
      <c r="AR69" s="32"/>
      <c r="AS69" s="32"/>
      <c r="AT69" s="32"/>
      <c r="AU69" s="32"/>
      <c r="AV69" s="31"/>
      <c r="AW69" s="31"/>
      <c r="AX69" s="53"/>
      <c r="AY69" s="21" t="str">
        <f>IFERROR(VLOOKUP(April[[#This Row],[Drug Name7]],'Data Options'!$R$1:$S$100,2,FALSE), " ")</f>
        <v xml:space="preserve"> </v>
      </c>
      <c r="AZ69" s="32"/>
      <c r="BA69" s="32"/>
      <c r="BB69" s="53"/>
      <c r="BC69" s="21" t="str">
        <f>IFERROR(VLOOKUP(April[[#This Row],[Drug Name8]],'Data Options'!$R$1:$S$100,2,FALSE), " ")</f>
        <v xml:space="preserve"> </v>
      </c>
      <c r="BD69" s="32"/>
      <c r="BE69" s="32"/>
      <c r="BF69" s="53"/>
      <c r="BG69" s="21" t="str">
        <f>IFERROR(VLOOKUP(April[[#This Row],[Drug Name9]],'Data Options'!$R$1:$S$100,2,FALSE), " ")</f>
        <v xml:space="preserve"> </v>
      </c>
      <c r="BH69" s="32"/>
      <c r="BI69" s="32"/>
    </row>
    <row r="70" spans="1:61">
      <c r="A70" s="5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1"/>
      <c r="O70" s="31"/>
      <c r="P70" s="53"/>
      <c r="Q70" s="21" t="str">
        <f>IFERROR(VLOOKUP(April[[#This Row],[Drug Name]],'Data Options'!$R$1:$S$100,2,FALSE), " ")</f>
        <v xml:space="preserve"> </v>
      </c>
      <c r="R70" s="32"/>
      <c r="S70" s="32"/>
      <c r="T70" s="53"/>
      <c r="U70" s="21" t="str">
        <f>IFERROR(VLOOKUP(April[[#This Row],[Drug Name2]],'Data Options'!$R$1:$S$100,2,FALSE), " ")</f>
        <v xml:space="preserve"> </v>
      </c>
      <c r="V70" s="32"/>
      <c r="W70" s="32"/>
      <c r="X70" s="53"/>
      <c r="Y70" s="21" t="str">
        <f>IFERROR(VLOOKUP(April[[#This Row],[Drug Name3]],'Data Options'!$R$1:$S$100,2,FALSE), " ")</f>
        <v xml:space="preserve"> </v>
      </c>
      <c r="Z70" s="32"/>
      <c r="AA70" s="32"/>
      <c r="AB70" s="32"/>
      <c r="AC70" s="32"/>
      <c r="AD70" s="32"/>
      <c r="AE70" s="31"/>
      <c r="AF70" s="31"/>
      <c r="AG70" s="53"/>
      <c r="AH70" s="21" t="str">
        <f>IFERROR(VLOOKUP(April[[#This Row],[Drug Name4]],'Data Options'!$R$1:$S$100,2,FALSE), " ")</f>
        <v xml:space="preserve"> </v>
      </c>
      <c r="AI70" s="32"/>
      <c r="AJ70" s="32"/>
      <c r="AK70" s="53"/>
      <c r="AL70" s="21" t="str">
        <f>IFERROR(VLOOKUP(April[[#This Row],[Drug Name5]],'Data Options'!$R$1:$S$100,2,FALSE), " ")</f>
        <v xml:space="preserve"> </v>
      </c>
      <c r="AM70" s="32"/>
      <c r="AN70" s="32"/>
      <c r="AO70" s="53"/>
      <c r="AP70" s="21" t="str">
        <f>IFERROR(VLOOKUP(April[[#This Row],[Drug Name6]],'Data Options'!$R$1:$S$100,2,FALSE), " ")</f>
        <v xml:space="preserve"> </v>
      </c>
      <c r="AQ70" s="32"/>
      <c r="AR70" s="32"/>
      <c r="AS70" s="32"/>
      <c r="AT70" s="32"/>
      <c r="AU70" s="32"/>
      <c r="AV70" s="31"/>
      <c r="AW70" s="31"/>
      <c r="AX70" s="53"/>
      <c r="AY70" s="21" t="str">
        <f>IFERROR(VLOOKUP(April[[#This Row],[Drug Name7]],'Data Options'!$R$1:$S$100,2,FALSE), " ")</f>
        <v xml:space="preserve"> </v>
      </c>
      <c r="AZ70" s="32"/>
      <c r="BA70" s="32"/>
      <c r="BB70" s="53"/>
      <c r="BC70" s="21" t="str">
        <f>IFERROR(VLOOKUP(April[[#This Row],[Drug Name8]],'Data Options'!$R$1:$S$100,2,FALSE), " ")</f>
        <v xml:space="preserve"> </v>
      </c>
      <c r="BD70" s="32"/>
      <c r="BE70" s="32"/>
      <c r="BF70" s="53"/>
      <c r="BG70" s="21" t="str">
        <f>IFERROR(VLOOKUP(April[[#This Row],[Drug Name9]],'Data Options'!$R$1:$S$100,2,FALSE), " ")</f>
        <v xml:space="preserve"> </v>
      </c>
      <c r="BH70" s="32"/>
      <c r="BI70" s="32"/>
    </row>
    <row r="71" spans="1:61">
      <c r="A71" s="5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1"/>
      <c r="O71" s="31"/>
      <c r="P71" s="53"/>
      <c r="Q71" s="21" t="str">
        <f>IFERROR(VLOOKUP(April[[#This Row],[Drug Name]],'Data Options'!$R$1:$S$100,2,FALSE), " ")</f>
        <v xml:space="preserve"> </v>
      </c>
      <c r="R71" s="32"/>
      <c r="S71" s="32"/>
      <c r="T71" s="53"/>
      <c r="U71" s="21" t="str">
        <f>IFERROR(VLOOKUP(April[[#This Row],[Drug Name2]],'Data Options'!$R$1:$S$100,2,FALSE), " ")</f>
        <v xml:space="preserve"> </v>
      </c>
      <c r="V71" s="32"/>
      <c r="W71" s="32"/>
      <c r="X71" s="53"/>
      <c r="Y71" s="21" t="str">
        <f>IFERROR(VLOOKUP(April[[#This Row],[Drug Name3]],'Data Options'!$R$1:$S$100,2,FALSE), " ")</f>
        <v xml:space="preserve"> </v>
      </c>
      <c r="Z71" s="32"/>
      <c r="AA71" s="32"/>
      <c r="AB71" s="32"/>
      <c r="AC71" s="32"/>
      <c r="AD71" s="32"/>
      <c r="AE71" s="31"/>
      <c r="AF71" s="31"/>
      <c r="AG71" s="53"/>
      <c r="AH71" s="21" t="str">
        <f>IFERROR(VLOOKUP(April[[#This Row],[Drug Name4]],'Data Options'!$R$1:$S$100,2,FALSE), " ")</f>
        <v xml:space="preserve"> </v>
      </c>
      <c r="AI71" s="32"/>
      <c r="AJ71" s="32"/>
      <c r="AK71" s="53"/>
      <c r="AL71" s="21" t="str">
        <f>IFERROR(VLOOKUP(April[[#This Row],[Drug Name5]],'Data Options'!$R$1:$S$100,2,FALSE), " ")</f>
        <v xml:space="preserve"> </v>
      </c>
      <c r="AM71" s="32"/>
      <c r="AN71" s="32"/>
      <c r="AO71" s="53"/>
      <c r="AP71" s="21" t="str">
        <f>IFERROR(VLOOKUP(April[[#This Row],[Drug Name6]],'Data Options'!$R$1:$S$100,2,FALSE), " ")</f>
        <v xml:space="preserve"> </v>
      </c>
      <c r="AQ71" s="32"/>
      <c r="AR71" s="32"/>
      <c r="AS71" s="32"/>
      <c r="AT71" s="32"/>
      <c r="AU71" s="32"/>
      <c r="AV71" s="31"/>
      <c r="AW71" s="31"/>
      <c r="AX71" s="53"/>
      <c r="AY71" s="21" t="str">
        <f>IFERROR(VLOOKUP(April[[#This Row],[Drug Name7]],'Data Options'!$R$1:$S$100,2,FALSE), " ")</f>
        <v xml:space="preserve"> </v>
      </c>
      <c r="AZ71" s="32"/>
      <c r="BA71" s="32"/>
      <c r="BB71" s="53"/>
      <c r="BC71" s="21" t="str">
        <f>IFERROR(VLOOKUP(April[[#This Row],[Drug Name8]],'Data Options'!$R$1:$S$100,2,FALSE), " ")</f>
        <v xml:space="preserve"> </v>
      </c>
      <c r="BD71" s="32"/>
      <c r="BE71" s="32"/>
      <c r="BF71" s="53"/>
      <c r="BG71" s="21" t="str">
        <f>IFERROR(VLOOKUP(April[[#This Row],[Drug Name9]],'Data Options'!$R$1:$S$100,2,FALSE), " ")</f>
        <v xml:space="preserve"> </v>
      </c>
      <c r="BH71" s="32"/>
      <c r="BI71" s="32"/>
    </row>
    <row r="72" spans="1:61">
      <c r="A72" s="5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1"/>
      <c r="O72" s="31"/>
      <c r="P72" s="53"/>
      <c r="Q72" s="21" t="str">
        <f>IFERROR(VLOOKUP(April[[#This Row],[Drug Name]],'Data Options'!$R$1:$S$100,2,FALSE), " ")</f>
        <v xml:space="preserve"> </v>
      </c>
      <c r="R72" s="32"/>
      <c r="S72" s="32"/>
      <c r="T72" s="53"/>
      <c r="U72" s="21" t="str">
        <f>IFERROR(VLOOKUP(April[[#This Row],[Drug Name2]],'Data Options'!$R$1:$S$100,2,FALSE), " ")</f>
        <v xml:space="preserve"> </v>
      </c>
      <c r="V72" s="32"/>
      <c r="W72" s="32"/>
      <c r="X72" s="53"/>
      <c r="Y72" s="21" t="str">
        <f>IFERROR(VLOOKUP(April[[#This Row],[Drug Name3]],'Data Options'!$R$1:$S$100,2,FALSE), " ")</f>
        <v xml:space="preserve"> </v>
      </c>
      <c r="Z72" s="32"/>
      <c r="AA72" s="32"/>
      <c r="AB72" s="32"/>
      <c r="AC72" s="32"/>
      <c r="AD72" s="32"/>
      <c r="AE72" s="31"/>
      <c r="AF72" s="31"/>
      <c r="AG72" s="53"/>
      <c r="AH72" s="21" t="str">
        <f>IFERROR(VLOOKUP(April[[#This Row],[Drug Name4]],'Data Options'!$R$1:$S$100,2,FALSE), " ")</f>
        <v xml:space="preserve"> </v>
      </c>
      <c r="AI72" s="32"/>
      <c r="AJ72" s="32"/>
      <c r="AK72" s="53"/>
      <c r="AL72" s="21" t="str">
        <f>IFERROR(VLOOKUP(April[[#This Row],[Drug Name5]],'Data Options'!$R$1:$S$100,2,FALSE), " ")</f>
        <v xml:space="preserve"> </v>
      </c>
      <c r="AM72" s="32"/>
      <c r="AN72" s="32"/>
      <c r="AO72" s="53"/>
      <c r="AP72" s="21" t="str">
        <f>IFERROR(VLOOKUP(April[[#This Row],[Drug Name6]],'Data Options'!$R$1:$S$100,2,FALSE), " ")</f>
        <v xml:space="preserve"> </v>
      </c>
      <c r="AQ72" s="32"/>
      <c r="AR72" s="32"/>
      <c r="AS72" s="32"/>
      <c r="AT72" s="32"/>
      <c r="AU72" s="32"/>
      <c r="AV72" s="31"/>
      <c r="AW72" s="31"/>
      <c r="AX72" s="53"/>
      <c r="AY72" s="21" t="str">
        <f>IFERROR(VLOOKUP(April[[#This Row],[Drug Name7]],'Data Options'!$R$1:$S$100,2,FALSE), " ")</f>
        <v xml:space="preserve"> </v>
      </c>
      <c r="AZ72" s="32"/>
      <c r="BA72" s="32"/>
      <c r="BB72" s="53"/>
      <c r="BC72" s="21" t="str">
        <f>IFERROR(VLOOKUP(April[[#This Row],[Drug Name8]],'Data Options'!$R$1:$S$100,2,FALSE), " ")</f>
        <v xml:space="preserve"> </v>
      </c>
      <c r="BD72" s="32"/>
      <c r="BE72" s="32"/>
      <c r="BF72" s="53"/>
      <c r="BG72" s="21" t="str">
        <f>IFERROR(VLOOKUP(April[[#This Row],[Drug Name9]],'Data Options'!$R$1:$S$100,2,FALSE), " ")</f>
        <v xml:space="preserve"> </v>
      </c>
      <c r="BH72" s="32"/>
      <c r="BI72" s="32"/>
    </row>
    <row r="73" spans="1:61">
      <c r="A73" s="5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1"/>
      <c r="P73" s="53"/>
      <c r="Q73" s="21" t="str">
        <f>IFERROR(VLOOKUP(April[[#This Row],[Drug Name]],'Data Options'!$R$1:$S$100,2,FALSE), " ")</f>
        <v xml:space="preserve"> </v>
      </c>
      <c r="R73" s="32"/>
      <c r="S73" s="32"/>
      <c r="T73" s="53"/>
      <c r="U73" s="21" t="str">
        <f>IFERROR(VLOOKUP(April[[#This Row],[Drug Name2]],'Data Options'!$R$1:$S$100,2,FALSE), " ")</f>
        <v xml:space="preserve"> </v>
      </c>
      <c r="V73" s="32"/>
      <c r="W73" s="32"/>
      <c r="X73" s="53"/>
      <c r="Y73" s="21" t="str">
        <f>IFERROR(VLOOKUP(April[[#This Row],[Drug Name3]],'Data Options'!$R$1:$S$100,2,FALSE), " ")</f>
        <v xml:space="preserve"> </v>
      </c>
      <c r="Z73" s="32"/>
      <c r="AA73" s="32"/>
      <c r="AB73" s="32"/>
      <c r="AC73" s="32"/>
      <c r="AD73" s="32"/>
      <c r="AE73" s="31"/>
      <c r="AF73" s="31"/>
      <c r="AG73" s="53"/>
      <c r="AH73" s="21" t="str">
        <f>IFERROR(VLOOKUP(April[[#This Row],[Drug Name4]],'Data Options'!$R$1:$S$100,2,FALSE), " ")</f>
        <v xml:space="preserve"> </v>
      </c>
      <c r="AI73" s="32"/>
      <c r="AJ73" s="32"/>
      <c r="AK73" s="53"/>
      <c r="AL73" s="21" t="str">
        <f>IFERROR(VLOOKUP(April[[#This Row],[Drug Name5]],'Data Options'!$R$1:$S$100,2,FALSE), " ")</f>
        <v xml:space="preserve"> </v>
      </c>
      <c r="AM73" s="32"/>
      <c r="AN73" s="32"/>
      <c r="AO73" s="53"/>
      <c r="AP73" s="21" t="str">
        <f>IFERROR(VLOOKUP(April[[#This Row],[Drug Name6]],'Data Options'!$R$1:$S$100,2,FALSE), " ")</f>
        <v xml:space="preserve"> </v>
      </c>
      <c r="AQ73" s="32"/>
      <c r="AR73" s="32"/>
      <c r="AS73" s="32"/>
      <c r="AT73" s="32"/>
      <c r="AU73" s="32"/>
      <c r="AV73" s="31"/>
      <c r="AW73" s="31"/>
      <c r="AX73" s="53"/>
      <c r="AY73" s="21" t="str">
        <f>IFERROR(VLOOKUP(April[[#This Row],[Drug Name7]],'Data Options'!$R$1:$S$100,2,FALSE), " ")</f>
        <v xml:space="preserve"> </v>
      </c>
      <c r="AZ73" s="32"/>
      <c r="BA73" s="32"/>
      <c r="BB73" s="53"/>
      <c r="BC73" s="21" t="str">
        <f>IFERROR(VLOOKUP(April[[#This Row],[Drug Name8]],'Data Options'!$R$1:$S$100,2,FALSE), " ")</f>
        <v xml:space="preserve"> </v>
      </c>
      <c r="BD73" s="32"/>
      <c r="BE73" s="32"/>
      <c r="BF73" s="53"/>
      <c r="BG73" s="21" t="str">
        <f>IFERROR(VLOOKUP(April[[#This Row],[Drug Name9]],'Data Options'!$R$1:$S$100,2,FALSE), " ")</f>
        <v xml:space="preserve"> </v>
      </c>
      <c r="BH73" s="32"/>
      <c r="BI73" s="32"/>
    </row>
    <row r="74" spans="1:61">
      <c r="A74" s="5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1"/>
      <c r="O74" s="31"/>
      <c r="P74" s="53"/>
      <c r="Q74" s="21" t="str">
        <f>IFERROR(VLOOKUP(April[[#This Row],[Drug Name]],'Data Options'!$R$1:$S$100,2,FALSE), " ")</f>
        <v xml:space="preserve"> </v>
      </c>
      <c r="R74" s="32"/>
      <c r="S74" s="32"/>
      <c r="T74" s="53"/>
      <c r="U74" s="21" t="str">
        <f>IFERROR(VLOOKUP(April[[#This Row],[Drug Name2]],'Data Options'!$R$1:$S$100,2,FALSE), " ")</f>
        <v xml:space="preserve"> </v>
      </c>
      <c r="V74" s="32"/>
      <c r="W74" s="32"/>
      <c r="X74" s="53"/>
      <c r="Y74" s="21" t="str">
        <f>IFERROR(VLOOKUP(April[[#This Row],[Drug Name3]],'Data Options'!$R$1:$S$100,2,FALSE), " ")</f>
        <v xml:space="preserve"> </v>
      </c>
      <c r="Z74" s="32"/>
      <c r="AA74" s="32"/>
      <c r="AB74" s="32"/>
      <c r="AC74" s="32"/>
      <c r="AD74" s="32"/>
      <c r="AE74" s="31"/>
      <c r="AF74" s="31"/>
      <c r="AG74" s="53"/>
      <c r="AH74" s="21" t="str">
        <f>IFERROR(VLOOKUP(April[[#This Row],[Drug Name4]],'Data Options'!$R$1:$S$100,2,FALSE), " ")</f>
        <v xml:space="preserve"> </v>
      </c>
      <c r="AI74" s="32"/>
      <c r="AJ74" s="32"/>
      <c r="AK74" s="53"/>
      <c r="AL74" s="21" t="str">
        <f>IFERROR(VLOOKUP(April[[#This Row],[Drug Name5]],'Data Options'!$R$1:$S$100,2,FALSE), " ")</f>
        <v xml:space="preserve"> </v>
      </c>
      <c r="AM74" s="32"/>
      <c r="AN74" s="32"/>
      <c r="AO74" s="53"/>
      <c r="AP74" s="21" t="str">
        <f>IFERROR(VLOOKUP(April[[#This Row],[Drug Name6]],'Data Options'!$R$1:$S$100,2,FALSE), " ")</f>
        <v xml:space="preserve"> </v>
      </c>
      <c r="AQ74" s="32"/>
      <c r="AR74" s="32"/>
      <c r="AS74" s="32"/>
      <c r="AT74" s="32"/>
      <c r="AU74" s="32"/>
      <c r="AV74" s="31"/>
      <c r="AW74" s="31"/>
      <c r="AX74" s="53"/>
      <c r="AY74" s="21" t="str">
        <f>IFERROR(VLOOKUP(April[[#This Row],[Drug Name7]],'Data Options'!$R$1:$S$100,2,FALSE), " ")</f>
        <v xml:space="preserve"> </v>
      </c>
      <c r="AZ74" s="32"/>
      <c r="BA74" s="32"/>
      <c r="BB74" s="53"/>
      <c r="BC74" s="21" t="str">
        <f>IFERROR(VLOOKUP(April[[#This Row],[Drug Name8]],'Data Options'!$R$1:$S$100,2,FALSE), " ")</f>
        <v xml:space="preserve"> </v>
      </c>
      <c r="BD74" s="32"/>
      <c r="BE74" s="32"/>
      <c r="BF74" s="53"/>
      <c r="BG74" s="21" t="str">
        <f>IFERROR(VLOOKUP(April[[#This Row],[Drug Name9]],'Data Options'!$R$1:$S$100,2,FALSE), " ")</f>
        <v xml:space="preserve"> </v>
      </c>
      <c r="BH74" s="32"/>
      <c r="BI74" s="32"/>
    </row>
    <row r="75" spans="1:61">
      <c r="A75" s="5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1"/>
      <c r="O75" s="31"/>
      <c r="P75" s="53"/>
      <c r="Q75" s="21" t="str">
        <f>IFERROR(VLOOKUP(April[[#This Row],[Drug Name]],'Data Options'!$R$1:$S$100,2,FALSE), " ")</f>
        <v xml:space="preserve"> </v>
      </c>
      <c r="R75" s="32"/>
      <c r="S75" s="32"/>
      <c r="T75" s="53"/>
      <c r="U75" s="21" t="str">
        <f>IFERROR(VLOOKUP(April[[#This Row],[Drug Name2]],'Data Options'!$R$1:$S$100,2,FALSE), " ")</f>
        <v xml:space="preserve"> </v>
      </c>
      <c r="V75" s="32"/>
      <c r="W75" s="32"/>
      <c r="X75" s="53"/>
      <c r="Y75" s="21" t="str">
        <f>IFERROR(VLOOKUP(April[[#This Row],[Drug Name3]],'Data Options'!$R$1:$S$100,2,FALSE), " ")</f>
        <v xml:space="preserve"> </v>
      </c>
      <c r="Z75" s="32"/>
      <c r="AA75" s="32"/>
      <c r="AB75" s="32"/>
      <c r="AC75" s="32"/>
      <c r="AD75" s="32"/>
      <c r="AE75" s="31"/>
      <c r="AF75" s="31"/>
      <c r="AG75" s="53"/>
      <c r="AH75" s="21" t="str">
        <f>IFERROR(VLOOKUP(April[[#This Row],[Drug Name4]],'Data Options'!$R$1:$S$100,2,FALSE), " ")</f>
        <v xml:space="preserve"> </v>
      </c>
      <c r="AI75" s="32"/>
      <c r="AJ75" s="32"/>
      <c r="AK75" s="53"/>
      <c r="AL75" s="21" t="str">
        <f>IFERROR(VLOOKUP(April[[#This Row],[Drug Name5]],'Data Options'!$R$1:$S$100,2,FALSE), " ")</f>
        <v xml:space="preserve"> </v>
      </c>
      <c r="AM75" s="32"/>
      <c r="AN75" s="32"/>
      <c r="AO75" s="53"/>
      <c r="AP75" s="21" t="str">
        <f>IFERROR(VLOOKUP(April[[#This Row],[Drug Name6]],'Data Options'!$R$1:$S$100,2,FALSE), " ")</f>
        <v xml:space="preserve"> </v>
      </c>
      <c r="AQ75" s="32"/>
      <c r="AR75" s="32"/>
      <c r="AS75" s="32"/>
      <c r="AT75" s="32"/>
      <c r="AU75" s="32"/>
      <c r="AV75" s="31"/>
      <c r="AW75" s="31"/>
      <c r="AX75" s="53"/>
      <c r="AY75" s="21" t="str">
        <f>IFERROR(VLOOKUP(April[[#This Row],[Drug Name7]],'Data Options'!$R$1:$S$100,2,FALSE), " ")</f>
        <v xml:space="preserve"> </v>
      </c>
      <c r="AZ75" s="32"/>
      <c r="BA75" s="32"/>
      <c r="BB75" s="53"/>
      <c r="BC75" s="21" t="str">
        <f>IFERROR(VLOOKUP(April[[#This Row],[Drug Name8]],'Data Options'!$R$1:$S$100,2,FALSE), " ")</f>
        <v xml:space="preserve"> </v>
      </c>
      <c r="BD75" s="32"/>
      <c r="BE75" s="32"/>
      <c r="BF75" s="53"/>
      <c r="BG75" s="21" t="str">
        <f>IFERROR(VLOOKUP(April[[#This Row],[Drug Name9]],'Data Options'!$R$1:$S$100,2,FALSE), " ")</f>
        <v xml:space="preserve"> </v>
      </c>
      <c r="BH75" s="32"/>
      <c r="BI75" s="32"/>
    </row>
    <row r="76" spans="1:61">
      <c r="A76" s="5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53"/>
      <c r="Q76" s="21" t="str">
        <f>IFERROR(VLOOKUP(April[[#This Row],[Drug Name]],'Data Options'!$R$1:$S$100,2,FALSE), " ")</f>
        <v xml:space="preserve"> </v>
      </c>
      <c r="R76" s="32"/>
      <c r="S76" s="32"/>
      <c r="T76" s="53"/>
      <c r="U76" s="21" t="str">
        <f>IFERROR(VLOOKUP(April[[#This Row],[Drug Name2]],'Data Options'!$R$1:$S$100,2,FALSE), " ")</f>
        <v xml:space="preserve"> </v>
      </c>
      <c r="V76" s="32"/>
      <c r="W76" s="32"/>
      <c r="X76" s="53"/>
      <c r="Y76" s="21" t="str">
        <f>IFERROR(VLOOKUP(April[[#This Row],[Drug Name3]],'Data Options'!$R$1:$S$100,2,FALSE), " ")</f>
        <v xml:space="preserve"> </v>
      </c>
      <c r="Z76" s="32"/>
      <c r="AA76" s="32"/>
      <c r="AB76" s="32"/>
      <c r="AC76" s="32"/>
      <c r="AD76" s="32"/>
      <c r="AE76" s="31"/>
      <c r="AF76" s="31"/>
      <c r="AG76" s="53"/>
      <c r="AH76" s="21" t="str">
        <f>IFERROR(VLOOKUP(April[[#This Row],[Drug Name4]],'Data Options'!$R$1:$S$100,2,FALSE), " ")</f>
        <v xml:space="preserve"> </v>
      </c>
      <c r="AI76" s="32"/>
      <c r="AJ76" s="32"/>
      <c r="AK76" s="53"/>
      <c r="AL76" s="21" t="str">
        <f>IFERROR(VLOOKUP(April[[#This Row],[Drug Name5]],'Data Options'!$R$1:$S$100,2,FALSE), " ")</f>
        <v xml:space="preserve"> </v>
      </c>
      <c r="AM76" s="32"/>
      <c r="AN76" s="32"/>
      <c r="AO76" s="53"/>
      <c r="AP76" s="21" t="str">
        <f>IFERROR(VLOOKUP(April[[#This Row],[Drug Name6]],'Data Options'!$R$1:$S$100,2,FALSE), " ")</f>
        <v xml:space="preserve"> </v>
      </c>
      <c r="AQ76" s="32"/>
      <c r="AR76" s="32"/>
      <c r="AS76" s="32"/>
      <c r="AT76" s="32"/>
      <c r="AU76" s="32"/>
      <c r="AV76" s="31"/>
      <c r="AW76" s="31"/>
      <c r="AX76" s="53"/>
      <c r="AY76" s="21" t="str">
        <f>IFERROR(VLOOKUP(April[[#This Row],[Drug Name7]],'Data Options'!$R$1:$S$100,2,FALSE), " ")</f>
        <v xml:space="preserve"> </v>
      </c>
      <c r="AZ76" s="32"/>
      <c r="BA76" s="32"/>
      <c r="BB76" s="53"/>
      <c r="BC76" s="21" t="str">
        <f>IFERROR(VLOOKUP(April[[#This Row],[Drug Name8]],'Data Options'!$R$1:$S$100,2,FALSE), " ")</f>
        <v xml:space="preserve"> </v>
      </c>
      <c r="BD76" s="32"/>
      <c r="BE76" s="32"/>
      <c r="BF76" s="53"/>
      <c r="BG76" s="21" t="str">
        <f>IFERROR(VLOOKUP(April[[#This Row],[Drug Name9]],'Data Options'!$R$1:$S$100,2,FALSE), " ")</f>
        <v xml:space="preserve"> </v>
      </c>
      <c r="BH76" s="32"/>
      <c r="BI76" s="32"/>
    </row>
    <row r="77" spans="1:61">
      <c r="A77" s="5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53"/>
      <c r="Q77" s="21" t="str">
        <f>IFERROR(VLOOKUP(April[[#This Row],[Drug Name]],'Data Options'!$R$1:$S$100,2,FALSE), " ")</f>
        <v xml:space="preserve"> </v>
      </c>
      <c r="R77" s="32"/>
      <c r="S77" s="32"/>
      <c r="T77" s="53"/>
      <c r="U77" s="21" t="str">
        <f>IFERROR(VLOOKUP(April[[#This Row],[Drug Name2]],'Data Options'!$R$1:$S$100,2,FALSE), " ")</f>
        <v xml:space="preserve"> </v>
      </c>
      <c r="V77" s="32"/>
      <c r="W77" s="32"/>
      <c r="X77" s="53"/>
      <c r="Y77" s="21" t="str">
        <f>IFERROR(VLOOKUP(April[[#This Row],[Drug Name3]],'Data Options'!$R$1:$S$100,2,FALSE), " ")</f>
        <v xml:space="preserve"> </v>
      </c>
      <c r="Z77" s="32"/>
      <c r="AA77" s="32"/>
      <c r="AB77" s="32"/>
      <c r="AC77" s="32"/>
      <c r="AD77" s="32"/>
      <c r="AE77" s="31"/>
      <c r="AF77" s="31"/>
      <c r="AG77" s="53"/>
      <c r="AH77" s="21" t="str">
        <f>IFERROR(VLOOKUP(April[[#This Row],[Drug Name4]],'Data Options'!$R$1:$S$100,2,FALSE), " ")</f>
        <v xml:space="preserve"> </v>
      </c>
      <c r="AI77" s="32"/>
      <c r="AJ77" s="32"/>
      <c r="AK77" s="53"/>
      <c r="AL77" s="21" t="str">
        <f>IFERROR(VLOOKUP(April[[#This Row],[Drug Name5]],'Data Options'!$R$1:$S$100,2,FALSE), " ")</f>
        <v xml:space="preserve"> </v>
      </c>
      <c r="AM77" s="32"/>
      <c r="AN77" s="32"/>
      <c r="AO77" s="53"/>
      <c r="AP77" s="21" t="str">
        <f>IFERROR(VLOOKUP(April[[#This Row],[Drug Name6]],'Data Options'!$R$1:$S$100,2,FALSE), " ")</f>
        <v xml:space="preserve"> </v>
      </c>
      <c r="AQ77" s="32"/>
      <c r="AR77" s="32"/>
      <c r="AS77" s="32"/>
      <c r="AT77" s="32"/>
      <c r="AU77" s="32"/>
      <c r="AV77" s="31"/>
      <c r="AW77" s="31"/>
      <c r="AX77" s="53"/>
      <c r="AY77" s="21" t="str">
        <f>IFERROR(VLOOKUP(April[[#This Row],[Drug Name7]],'Data Options'!$R$1:$S$100,2,FALSE), " ")</f>
        <v xml:space="preserve"> </v>
      </c>
      <c r="AZ77" s="32"/>
      <c r="BA77" s="32"/>
      <c r="BB77" s="53"/>
      <c r="BC77" s="21" t="str">
        <f>IFERROR(VLOOKUP(April[[#This Row],[Drug Name8]],'Data Options'!$R$1:$S$100,2,FALSE), " ")</f>
        <v xml:space="preserve"> </v>
      </c>
      <c r="BD77" s="32"/>
      <c r="BE77" s="32"/>
      <c r="BF77" s="53"/>
      <c r="BG77" s="21" t="str">
        <f>IFERROR(VLOOKUP(April[[#This Row],[Drug Name9]],'Data Options'!$R$1:$S$100,2,FALSE), " ")</f>
        <v xml:space="preserve"> </v>
      </c>
      <c r="BH77" s="32"/>
      <c r="BI77" s="32"/>
    </row>
    <row r="78" spans="1:61">
      <c r="A78" s="5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53"/>
      <c r="Q78" s="21" t="str">
        <f>IFERROR(VLOOKUP(April[[#This Row],[Drug Name]],'Data Options'!$R$1:$S$100,2,FALSE), " ")</f>
        <v xml:space="preserve"> </v>
      </c>
      <c r="R78" s="32"/>
      <c r="S78" s="32"/>
      <c r="T78" s="53"/>
      <c r="U78" s="21" t="str">
        <f>IFERROR(VLOOKUP(April[[#This Row],[Drug Name2]],'Data Options'!$R$1:$S$100,2,FALSE), " ")</f>
        <v xml:space="preserve"> </v>
      </c>
      <c r="V78" s="32"/>
      <c r="W78" s="32"/>
      <c r="X78" s="53"/>
      <c r="Y78" s="21" t="str">
        <f>IFERROR(VLOOKUP(April[[#This Row],[Drug Name3]],'Data Options'!$R$1:$S$100,2,FALSE), " ")</f>
        <v xml:space="preserve"> </v>
      </c>
      <c r="Z78" s="32"/>
      <c r="AA78" s="32"/>
      <c r="AB78" s="32"/>
      <c r="AC78" s="32"/>
      <c r="AD78" s="32"/>
      <c r="AE78" s="31"/>
      <c r="AF78" s="31"/>
      <c r="AG78" s="53"/>
      <c r="AH78" s="21" t="str">
        <f>IFERROR(VLOOKUP(April[[#This Row],[Drug Name4]],'Data Options'!$R$1:$S$100,2,FALSE), " ")</f>
        <v xml:space="preserve"> </v>
      </c>
      <c r="AI78" s="32"/>
      <c r="AJ78" s="32"/>
      <c r="AK78" s="53"/>
      <c r="AL78" s="21" t="str">
        <f>IFERROR(VLOOKUP(April[[#This Row],[Drug Name5]],'Data Options'!$R$1:$S$100,2,FALSE), " ")</f>
        <v xml:space="preserve"> </v>
      </c>
      <c r="AM78" s="32"/>
      <c r="AN78" s="32"/>
      <c r="AO78" s="53"/>
      <c r="AP78" s="21" t="str">
        <f>IFERROR(VLOOKUP(April[[#This Row],[Drug Name6]],'Data Options'!$R$1:$S$100,2,FALSE), " ")</f>
        <v xml:space="preserve"> </v>
      </c>
      <c r="AQ78" s="32"/>
      <c r="AR78" s="32"/>
      <c r="AS78" s="32"/>
      <c r="AT78" s="32"/>
      <c r="AU78" s="32"/>
      <c r="AV78" s="31"/>
      <c r="AW78" s="31"/>
      <c r="AX78" s="53"/>
      <c r="AY78" s="21" t="str">
        <f>IFERROR(VLOOKUP(April[[#This Row],[Drug Name7]],'Data Options'!$R$1:$S$100,2,FALSE), " ")</f>
        <v xml:space="preserve"> </v>
      </c>
      <c r="AZ78" s="32"/>
      <c r="BA78" s="32"/>
      <c r="BB78" s="53"/>
      <c r="BC78" s="21" t="str">
        <f>IFERROR(VLOOKUP(April[[#This Row],[Drug Name8]],'Data Options'!$R$1:$S$100,2,FALSE), " ")</f>
        <v xml:space="preserve"> </v>
      </c>
      <c r="BD78" s="32"/>
      <c r="BE78" s="32"/>
      <c r="BF78" s="53"/>
      <c r="BG78" s="21" t="str">
        <f>IFERROR(VLOOKUP(April[[#This Row],[Drug Name9]],'Data Options'!$R$1:$S$100,2,FALSE), " ")</f>
        <v xml:space="preserve"> </v>
      </c>
      <c r="BH78" s="32"/>
      <c r="BI78" s="32"/>
    </row>
    <row r="79" spans="1:61">
      <c r="A79" s="5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53"/>
      <c r="Q79" s="21" t="str">
        <f>IFERROR(VLOOKUP(April[[#This Row],[Drug Name]],'Data Options'!$R$1:$S$100,2,FALSE), " ")</f>
        <v xml:space="preserve"> </v>
      </c>
      <c r="R79" s="32"/>
      <c r="S79" s="32"/>
      <c r="T79" s="53"/>
      <c r="U79" s="21" t="str">
        <f>IFERROR(VLOOKUP(April[[#This Row],[Drug Name2]],'Data Options'!$R$1:$S$100,2,FALSE), " ")</f>
        <v xml:space="preserve"> </v>
      </c>
      <c r="V79" s="32"/>
      <c r="W79" s="32"/>
      <c r="X79" s="53"/>
      <c r="Y79" s="21" t="str">
        <f>IFERROR(VLOOKUP(April[[#This Row],[Drug Name3]],'Data Options'!$R$1:$S$100,2,FALSE), " ")</f>
        <v xml:space="preserve"> </v>
      </c>
      <c r="Z79" s="32"/>
      <c r="AA79" s="32"/>
      <c r="AB79" s="32"/>
      <c r="AC79" s="32"/>
      <c r="AD79" s="32"/>
      <c r="AE79" s="31"/>
      <c r="AF79" s="31"/>
      <c r="AG79" s="53"/>
      <c r="AH79" s="21" t="str">
        <f>IFERROR(VLOOKUP(April[[#This Row],[Drug Name4]],'Data Options'!$R$1:$S$100,2,FALSE), " ")</f>
        <v xml:space="preserve"> </v>
      </c>
      <c r="AI79" s="32"/>
      <c r="AJ79" s="32"/>
      <c r="AK79" s="53"/>
      <c r="AL79" s="21" t="str">
        <f>IFERROR(VLOOKUP(April[[#This Row],[Drug Name5]],'Data Options'!$R$1:$S$100,2,FALSE), " ")</f>
        <v xml:space="preserve"> </v>
      </c>
      <c r="AM79" s="32"/>
      <c r="AN79" s="32"/>
      <c r="AO79" s="53"/>
      <c r="AP79" s="21" t="str">
        <f>IFERROR(VLOOKUP(April[[#This Row],[Drug Name6]],'Data Options'!$R$1:$S$100,2,FALSE), " ")</f>
        <v xml:space="preserve"> </v>
      </c>
      <c r="AQ79" s="32"/>
      <c r="AR79" s="32"/>
      <c r="AS79" s="32"/>
      <c r="AT79" s="32"/>
      <c r="AU79" s="32"/>
      <c r="AV79" s="31"/>
      <c r="AW79" s="31"/>
      <c r="AX79" s="53"/>
      <c r="AY79" s="21" t="str">
        <f>IFERROR(VLOOKUP(April[[#This Row],[Drug Name7]],'Data Options'!$R$1:$S$100,2,FALSE), " ")</f>
        <v xml:space="preserve"> </v>
      </c>
      <c r="AZ79" s="32"/>
      <c r="BA79" s="32"/>
      <c r="BB79" s="53"/>
      <c r="BC79" s="21" t="str">
        <f>IFERROR(VLOOKUP(April[[#This Row],[Drug Name8]],'Data Options'!$R$1:$S$100,2,FALSE), " ")</f>
        <v xml:space="preserve"> </v>
      </c>
      <c r="BD79" s="32"/>
      <c r="BE79" s="32"/>
      <c r="BF79" s="53"/>
      <c r="BG79" s="21" t="str">
        <f>IFERROR(VLOOKUP(April[[#This Row],[Drug Name9]],'Data Options'!$R$1:$S$100,2,FALSE), " ")</f>
        <v xml:space="preserve"> </v>
      </c>
      <c r="BH79" s="32"/>
      <c r="BI79" s="32"/>
    </row>
    <row r="80" spans="1:61">
      <c r="A80" s="5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53"/>
      <c r="Q80" s="21" t="str">
        <f>IFERROR(VLOOKUP(April[[#This Row],[Drug Name]],'Data Options'!$R$1:$S$100,2,FALSE), " ")</f>
        <v xml:space="preserve"> </v>
      </c>
      <c r="R80" s="32"/>
      <c r="S80" s="32"/>
      <c r="T80" s="53"/>
      <c r="U80" s="21" t="str">
        <f>IFERROR(VLOOKUP(April[[#This Row],[Drug Name2]],'Data Options'!$R$1:$S$100,2,FALSE), " ")</f>
        <v xml:space="preserve"> </v>
      </c>
      <c r="V80" s="32"/>
      <c r="W80" s="32"/>
      <c r="X80" s="53"/>
      <c r="Y80" s="21" t="str">
        <f>IFERROR(VLOOKUP(April[[#This Row],[Drug Name3]],'Data Options'!$R$1:$S$100,2,FALSE), " ")</f>
        <v xml:space="preserve"> </v>
      </c>
      <c r="Z80" s="32"/>
      <c r="AA80" s="32"/>
      <c r="AB80" s="32"/>
      <c r="AC80" s="32"/>
      <c r="AD80" s="32"/>
      <c r="AE80" s="31"/>
      <c r="AF80" s="31"/>
      <c r="AG80" s="53"/>
      <c r="AH80" s="21" t="str">
        <f>IFERROR(VLOOKUP(April[[#This Row],[Drug Name4]],'Data Options'!$R$1:$S$100,2,FALSE), " ")</f>
        <v xml:space="preserve"> </v>
      </c>
      <c r="AI80" s="32"/>
      <c r="AJ80" s="32"/>
      <c r="AK80" s="53"/>
      <c r="AL80" s="21" t="str">
        <f>IFERROR(VLOOKUP(April[[#This Row],[Drug Name5]],'Data Options'!$R$1:$S$100,2,FALSE), " ")</f>
        <v xml:space="preserve"> </v>
      </c>
      <c r="AM80" s="32"/>
      <c r="AN80" s="32"/>
      <c r="AO80" s="53"/>
      <c r="AP80" s="21" t="str">
        <f>IFERROR(VLOOKUP(April[[#This Row],[Drug Name6]],'Data Options'!$R$1:$S$100,2,FALSE), " ")</f>
        <v xml:space="preserve"> </v>
      </c>
      <c r="AQ80" s="32"/>
      <c r="AR80" s="32"/>
      <c r="AS80" s="32"/>
      <c r="AT80" s="32"/>
      <c r="AU80" s="32"/>
      <c r="AV80" s="31"/>
      <c r="AW80" s="31"/>
      <c r="AX80" s="53"/>
      <c r="AY80" s="21" t="str">
        <f>IFERROR(VLOOKUP(April[[#This Row],[Drug Name7]],'Data Options'!$R$1:$S$100,2,FALSE), " ")</f>
        <v xml:space="preserve"> </v>
      </c>
      <c r="AZ80" s="32"/>
      <c r="BA80" s="32"/>
      <c r="BB80" s="53"/>
      <c r="BC80" s="21" t="str">
        <f>IFERROR(VLOOKUP(April[[#This Row],[Drug Name8]],'Data Options'!$R$1:$S$100,2,FALSE), " ")</f>
        <v xml:space="preserve"> </v>
      </c>
      <c r="BD80" s="32"/>
      <c r="BE80" s="32"/>
      <c r="BF80" s="53"/>
      <c r="BG80" s="21" t="str">
        <f>IFERROR(VLOOKUP(April[[#This Row],[Drug Name9]],'Data Options'!$R$1:$S$100,2,FALSE), " ")</f>
        <v xml:space="preserve"> </v>
      </c>
      <c r="BH80" s="32"/>
      <c r="BI80" s="32"/>
    </row>
    <row r="81" spans="1:61">
      <c r="A81" s="5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53"/>
      <c r="Q81" s="21" t="str">
        <f>IFERROR(VLOOKUP(April[[#This Row],[Drug Name]],'Data Options'!$R$1:$S$100,2,FALSE), " ")</f>
        <v xml:space="preserve"> </v>
      </c>
      <c r="R81" s="32"/>
      <c r="S81" s="32"/>
      <c r="T81" s="53"/>
      <c r="U81" s="21" t="str">
        <f>IFERROR(VLOOKUP(April[[#This Row],[Drug Name2]],'Data Options'!$R$1:$S$100,2,FALSE), " ")</f>
        <v xml:space="preserve"> </v>
      </c>
      <c r="V81" s="32"/>
      <c r="W81" s="32"/>
      <c r="X81" s="53"/>
      <c r="Y81" s="21" t="str">
        <f>IFERROR(VLOOKUP(April[[#This Row],[Drug Name3]],'Data Options'!$R$1:$S$100,2,FALSE), " ")</f>
        <v xml:space="preserve"> </v>
      </c>
      <c r="Z81" s="32"/>
      <c r="AA81" s="32"/>
      <c r="AB81" s="32"/>
      <c r="AC81" s="32"/>
      <c r="AD81" s="32"/>
      <c r="AE81" s="31"/>
      <c r="AF81" s="31"/>
      <c r="AG81" s="53"/>
      <c r="AH81" s="21" t="str">
        <f>IFERROR(VLOOKUP(April[[#This Row],[Drug Name4]],'Data Options'!$R$1:$S$100,2,FALSE), " ")</f>
        <v xml:space="preserve"> </v>
      </c>
      <c r="AI81" s="32"/>
      <c r="AJ81" s="32"/>
      <c r="AK81" s="53"/>
      <c r="AL81" s="21" t="str">
        <f>IFERROR(VLOOKUP(April[[#This Row],[Drug Name5]],'Data Options'!$R$1:$S$100,2,FALSE), " ")</f>
        <v xml:space="preserve"> </v>
      </c>
      <c r="AM81" s="32"/>
      <c r="AN81" s="32"/>
      <c r="AO81" s="53"/>
      <c r="AP81" s="21" t="str">
        <f>IFERROR(VLOOKUP(April[[#This Row],[Drug Name6]],'Data Options'!$R$1:$S$100,2,FALSE), " ")</f>
        <v xml:space="preserve"> </v>
      </c>
      <c r="AQ81" s="32"/>
      <c r="AR81" s="32"/>
      <c r="AS81" s="32"/>
      <c r="AT81" s="32"/>
      <c r="AU81" s="32"/>
      <c r="AV81" s="31"/>
      <c r="AW81" s="31"/>
      <c r="AX81" s="53"/>
      <c r="AY81" s="21" t="str">
        <f>IFERROR(VLOOKUP(April[[#This Row],[Drug Name7]],'Data Options'!$R$1:$S$100,2,FALSE), " ")</f>
        <v xml:space="preserve"> </v>
      </c>
      <c r="AZ81" s="32"/>
      <c r="BA81" s="32"/>
      <c r="BB81" s="53"/>
      <c r="BC81" s="21" t="str">
        <f>IFERROR(VLOOKUP(April[[#This Row],[Drug Name8]],'Data Options'!$R$1:$S$100,2,FALSE), " ")</f>
        <v xml:space="preserve"> </v>
      </c>
      <c r="BD81" s="32"/>
      <c r="BE81" s="32"/>
      <c r="BF81" s="53"/>
      <c r="BG81" s="21" t="str">
        <f>IFERROR(VLOOKUP(April[[#This Row],[Drug Name9]],'Data Options'!$R$1:$S$100,2,FALSE), " ")</f>
        <v xml:space="preserve"> </v>
      </c>
      <c r="BH81" s="32"/>
      <c r="BI81" s="32"/>
    </row>
    <row r="82" spans="1:61">
      <c r="A82" s="5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53"/>
      <c r="Q82" s="21" t="str">
        <f>IFERROR(VLOOKUP(April[[#This Row],[Drug Name]],'Data Options'!$R$1:$S$100,2,FALSE), " ")</f>
        <v xml:space="preserve"> </v>
      </c>
      <c r="R82" s="32"/>
      <c r="S82" s="32"/>
      <c r="T82" s="53"/>
      <c r="U82" s="21" t="str">
        <f>IFERROR(VLOOKUP(April[[#This Row],[Drug Name2]],'Data Options'!$R$1:$S$100,2,FALSE), " ")</f>
        <v xml:space="preserve"> </v>
      </c>
      <c r="V82" s="32"/>
      <c r="W82" s="32"/>
      <c r="X82" s="53"/>
      <c r="Y82" s="21" t="str">
        <f>IFERROR(VLOOKUP(April[[#This Row],[Drug Name3]],'Data Options'!$R$1:$S$100,2,FALSE), " ")</f>
        <v xml:space="preserve"> </v>
      </c>
      <c r="Z82" s="32"/>
      <c r="AA82" s="32"/>
      <c r="AB82" s="32"/>
      <c r="AC82" s="32"/>
      <c r="AD82" s="32"/>
      <c r="AE82" s="31"/>
      <c r="AF82" s="31"/>
      <c r="AG82" s="53"/>
      <c r="AH82" s="21" t="str">
        <f>IFERROR(VLOOKUP(April[[#This Row],[Drug Name4]],'Data Options'!$R$1:$S$100,2,FALSE), " ")</f>
        <v xml:space="preserve"> </v>
      </c>
      <c r="AI82" s="32"/>
      <c r="AJ82" s="32"/>
      <c r="AK82" s="53"/>
      <c r="AL82" s="21" t="str">
        <f>IFERROR(VLOOKUP(April[[#This Row],[Drug Name5]],'Data Options'!$R$1:$S$100,2,FALSE), " ")</f>
        <v xml:space="preserve"> </v>
      </c>
      <c r="AM82" s="32"/>
      <c r="AN82" s="32"/>
      <c r="AO82" s="53"/>
      <c r="AP82" s="21" t="str">
        <f>IFERROR(VLOOKUP(April[[#This Row],[Drug Name6]],'Data Options'!$R$1:$S$100,2,FALSE), " ")</f>
        <v xml:space="preserve"> </v>
      </c>
      <c r="AQ82" s="32"/>
      <c r="AR82" s="32"/>
      <c r="AS82" s="32"/>
      <c r="AT82" s="32"/>
      <c r="AU82" s="32"/>
      <c r="AV82" s="31"/>
      <c r="AW82" s="31"/>
      <c r="AX82" s="53"/>
      <c r="AY82" s="21" t="str">
        <f>IFERROR(VLOOKUP(April[[#This Row],[Drug Name7]],'Data Options'!$R$1:$S$100,2,FALSE), " ")</f>
        <v xml:space="preserve"> </v>
      </c>
      <c r="AZ82" s="32"/>
      <c r="BA82" s="32"/>
      <c r="BB82" s="53"/>
      <c r="BC82" s="21" t="str">
        <f>IFERROR(VLOOKUP(April[[#This Row],[Drug Name8]],'Data Options'!$R$1:$S$100,2,FALSE), " ")</f>
        <v xml:space="preserve"> </v>
      </c>
      <c r="BD82" s="32"/>
      <c r="BE82" s="32"/>
      <c r="BF82" s="53"/>
      <c r="BG82" s="21" t="str">
        <f>IFERROR(VLOOKUP(April[[#This Row],[Drug Name9]],'Data Options'!$R$1:$S$100,2,FALSE), " ")</f>
        <v xml:space="preserve"> </v>
      </c>
      <c r="BH82" s="32"/>
      <c r="BI82" s="32"/>
    </row>
    <row r="83" spans="1:61">
      <c r="A83" s="5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53"/>
      <c r="Q83" s="21" t="str">
        <f>IFERROR(VLOOKUP(April[[#This Row],[Drug Name]],'Data Options'!$R$1:$S$100,2,FALSE), " ")</f>
        <v xml:space="preserve"> </v>
      </c>
      <c r="R83" s="32"/>
      <c r="S83" s="32"/>
      <c r="T83" s="53"/>
      <c r="U83" s="21" t="str">
        <f>IFERROR(VLOOKUP(April[[#This Row],[Drug Name2]],'Data Options'!$R$1:$S$100,2,FALSE), " ")</f>
        <v xml:space="preserve"> </v>
      </c>
      <c r="V83" s="32"/>
      <c r="W83" s="32"/>
      <c r="X83" s="53"/>
      <c r="Y83" s="21" t="str">
        <f>IFERROR(VLOOKUP(April[[#This Row],[Drug Name3]],'Data Options'!$R$1:$S$100,2,FALSE), " ")</f>
        <v xml:space="preserve"> </v>
      </c>
      <c r="Z83" s="32"/>
      <c r="AA83" s="32"/>
      <c r="AB83" s="32"/>
      <c r="AC83" s="32"/>
      <c r="AD83" s="32"/>
      <c r="AE83" s="31"/>
      <c r="AF83" s="31"/>
      <c r="AG83" s="53"/>
      <c r="AH83" s="21" t="str">
        <f>IFERROR(VLOOKUP(April[[#This Row],[Drug Name4]],'Data Options'!$R$1:$S$100,2,FALSE), " ")</f>
        <v xml:space="preserve"> </v>
      </c>
      <c r="AI83" s="32"/>
      <c r="AJ83" s="32"/>
      <c r="AK83" s="53"/>
      <c r="AL83" s="21" t="str">
        <f>IFERROR(VLOOKUP(April[[#This Row],[Drug Name5]],'Data Options'!$R$1:$S$100,2,FALSE), " ")</f>
        <v xml:space="preserve"> </v>
      </c>
      <c r="AM83" s="32"/>
      <c r="AN83" s="32"/>
      <c r="AO83" s="53"/>
      <c r="AP83" s="21" t="str">
        <f>IFERROR(VLOOKUP(April[[#This Row],[Drug Name6]],'Data Options'!$R$1:$S$100,2,FALSE), " ")</f>
        <v xml:space="preserve"> </v>
      </c>
      <c r="AQ83" s="32"/>
      <c r="AR83" s="32"/>
      <c r="AS83" s="32"/>
      <c r="AT83" s="32"/>
      <c r="AU83" s="32"/>
      <c r="AV83" s="31"/>
      <c r="AW83" s="31"/>
      <c r="AX83" s="53"/>
      <c r="AY83" s="21" t="str">
        <f>IFERROR(VLOOKUP(April[[#This Row],[Drug Name7]],'Data Options'!$R$1:$S$100,2,FALSE), " ")</f>
        <v xml:space="preserve"> </v>
      </c>
      <c r="AZ83" s="32"/>
      <c r="BA83" s="32"/>
      <c r="BB83" s="53"/>
      <c r="BC83" s="21" t="str">
        <f>IFERROR(VLOOKUP(April[[#This Row],[Drug Name8]],'Data Options'!$R$1:$S$100,2,FALSE), " ")</f>
        <v xml:space="preserve"> </v>
      </c>
      <c r="BD83" s="32"/>
      <c r="BE83" s="32"/>
      <c r="BF83" s="53"/>
      <c r="BG83" s="21" t="str">
        <f>IFERROR(VLOOKUP(April[[#This Row],[Drug Name9]],'Data Options'!$R$1:$S$100,2,FALSE), " ")</f>
        <v xml:space="preserve"> </v>
      </c>
      <c r="BH83" s="32"/>
      <c r="BI83" s="32"/>
    </row>
    <row r="84" spans="1:61">
      <c r="A84" s="5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53"/>
      <c r="Q84" s="21" t="str">
        <f>IFERROR(VLOOKUP(April[[#This Row],[Drug Name]],'Data Options'!$R$1:$S$100,2,FALSE), " ")</f>
        <v xml:space="preserve"> </v>
      </c>
      <c r="R84" s="32"/>
      <c r="S84" s="32"/>
      <c r="T84" s="53"/>
      <c r="U84" s="21" t="str">
        <f>IFERROR(VLOOKUP(April[[#This Row],[Drug Name2]],'Data Options'!$R$1:$S$100,2,FALSE), " ")</f>
        <v xml:space="preserve"> </v>
      </c>
      <c r="V84" s="32"/>
      <c r="W84" s="32"/>
      <c r="X84" s="53"/>
      <c r="Y84" s="21" t="str">
        <f>IFERROR(VLOOKUP(April[[#This Row],[Drug Name3]],'Data Options'!$R$1:$S$100,2,FALSE), " ")</f>
        <v xml:space="preserve"> </v>
      </c>
      <c r="Z84" s="32"/>
      <c r="AA84" s="32"/>
      <c r="AB84" s="32"/>
      <c r="AC84" s="32"/>
      <c r="AD84" s="32"/>
      <c r="AE84" s="31"/>
      <c r="AF84" s="31"/>
      <c r="AG84" s="53"/>
      <c r="AH84" s="21" t="str">
        <f>IFERROR(VLOOKUP(April[[#This Row],[Drug Name4]],'Data Options'!$R$1:$S$100,2,FALSE), " ")</f>
        <v xml:space="preserve"> </v>
      </c>
      <c r="AI84" s="32"/>
      <c r="AJ84" s="32"/>
      <c r="AK84" s="53"/>
      <c r="AL84" s="21" t="str">
        <f>IFERROR(VLOOKUP(April[[#This Row],[Drug Name5]],'Data Options'!$R$1:$S$100,2,FALSE), " ")</f>
        <v xml:space="preserve"> </v>
      </c>
      <c r="AM84" s="32"/>
      <c r="AN84" s="32"/>
      <c r="AO84" s="53"/>
      <c r="AP84" s="21" t="str">
        <f>IFERROR(VLOOKUP(April[[#This Row],[Drug Name6]],'Data Options'!$R$1:$S$100,2,FALSE), " ")</f>
        <v xml:space="preserve"> </v>
      </c>
      <c r="AQ84" s="32"/>
      <c r="AR84" s="32"/>
      <c r="AS84" s="32"/>
      <c r="AT84" s="32"/>
      <c r="AU84" s="32"/>
      <c r="AV84" s="31"/>
      <c r="AW84" s="31"/>
      <c r="AX84" s="53"/>
      <c r="AY84" s="21" t="str">
        <f>IFERROR(VLOOKUP(April[[#This Row],[Drug Name7]],'Data Options'!$R$1:$S$100,2,FALSE), " ")</f>
        <v xml:space="preserve"> </v>
      </c>
      <c r="AZ84" s="32"/>
      <c r="BA84" s="32"/>
      <c r="BB84" s="53"/>
      <c r="BC84" s="21" t="str">
        <f>IFERROR(VLOOKUP(April[[#This Row],[Drug Name8]],'Data Options'!$R$1:$S$100,2,FALSE), " ")</f>
        <v xml:space="preserve"> </v>
      </c>
      <c r="BD84" s="32"/>
      <c r="BE84" s="32"/>
      <c r="BF84" s="53"/>
      <c r="BG84" s="21" t="str">
        <f>IFERROR(VLOOKUP(April[[#This Row],[Drug Name9]],'Data Options'!$R$1:$S$100,2,FALSE), " ")</f>
        <v xml:space="preserve"> </v>
      </c>
      <c r="BH84" s="32"/>
      <c r="BI84" s="32"/>
    </row>
    <row r="85" spans="1:61">
      <c r="A85" s="5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53"/>
      <c r="Q85" s="21" t="str">
        <f>IFERROR(VLOOKUP(April[[#This Row],[Drug Name]],'Data Options'!$R$1:$S$100,2,FALSE), " ")</f>
        <v xml:space="preserve"> </v>
      </c>
      <c r="R85" s="32"/>
      <c r="S85" s="32"/>
      <c r="T85" s="53"/>
      <c r="U85" s="21" t="str">
        <f>IFERROR(VLOOKUP(April[[#This Row],[Drug Name2]],'Data Options'!$R$1:$S$100,2,FALSE), " ")</f>
        <v xml:space="preserve"> </v>
      </c>
      <c r="V85" s="32"/>
      <c r="W85" s="32"/>
      <c r="X85" s="53"/>
      <c r="Y85" s="21" t="str">
        <f>IFERROR(VLOOKUP(April[[#This Row],[Drug Name3]],'Data Options'!$R$1:$S$100,2,FALSE), " ")</f>
        <v xml:space="preserve"> </v>
      </c>
      <c r="Z85" s="32"/>
      <c r="AA85" s="32"/>
      <c r="AB85" s="32"/>
      <c r="AC85" s="32"/>
      <c r="AD85" s="32"/>
      <c r="AE85" s="31"/>
      <c r="AF85" s="31"/>
      <c r="AG85" s="53"/>
      <c r="AH85" s="21" t="str">
        <f>IFERROR(VLOOKUP(April[[#This Row],[Drug Name4]],'Data Options'!$R$1:$S$100,2,FALSE), " ")</f>
        <v xml:space="preserve"> </v>
      </c>
      <c r="AI85" s="32"/>
      <c r="AJ85" s="32"/>
      <c r="AK85" s="53"/>
      <c r="AL85" s="21" t="str">
        <f>IFERROR(VLOOKUP(April[[#This Row],[Drug Name5]],'Data Options'!$R$1:$S$100,2,FALSE), " ")</f>
        <v xml:space="preserve"> </v>
      </c>
      <c r="AM85" s="32"/>
      <c r="AN85" s="32"/>
      <c r="AO85" s="53"/>
      <c r="AP85" s="21" t="str">
        <f>IFERROR(VLOOKUP(April[[#This Row],[Drug Name6]],'Data Options'!$R$1:$S$100,2,FALSE), " ")</f>
        <v xml:space="preserve"> </v>
      </c>
      <c r="AQ85" s="32"/>
      <c r="AR85" s="32"/>
      <c r="AS85" s="32"/>
      <c r="AT85" s="32"/>
      <c r="AU85" s="32"/>
      <c r="AV85" s="31"/>
      <c r="AW85" s="31"/>
      <c r="AX85" s="53"/>
      <c r="AY85" s="21" t="str">
        <f>IFERROR(VLOOKUP(April[[#This Row],[Drug Name7]],'Data Options'!$R$1:$S$100,2,FALSE), " ")</f>
        <v xml:space="preserve"> </v>
      </c>
      <c r="AZ85" s="32"/>
      <c r="BA85" s="32"/>
      <c r="BB85" s="53"/>
      <c r="BC85" s="21" t="str">
        <f>IFERROR(VLOOKUP(April[[#This Row],[Drug Name8]],'Data Options'!$R$1:$S$100,2,FALSE), " ")</f>
        <v xml:space="preserve"> </v>
      </c>
      <c r="BD85" s="32"/>
      <c r="BE85" s="32"/>
      <c r="BF85" s="53"/>
      <c r="BG85" s="21" t="str">
        <f>IFERROR(VLOOKUP(April[[#This Row],[Drug Name9]],'Data Options'!$R$1:$S$100,2,FALSE), " ")</f>
        <v xml:space="preserve"> </v>
      </c>
      <c r="BH85" s="32"/>
      <c r="BI85" s="32"/>
    </row>
    <row r="86" spans="1:61">
      <c r="A86" s="5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53"/>
      <c r="Q86" s="21" t="str">
        <f>IFERROR(VLOOKUP(April[[#This Row],[Drug Name]],'Data Options'!$R$1:$S$100,2,FALSE), " ")</f>
        <v xml:space="preserve"> </v>
      </c>
      <c r="R86" s="32"/>
      <c r="S86" s="32"/>
      <c r="T86" s="53"/>
      <c r="U86" s="21" t="str">
        <f>IFERROR(VLOOKUP(April[[#This Row],[Drug Name2]],'Data Options'!$R$1:$S$100,2,FALSE), " ")</f>
        <v xml:space="preserve"> </v>
      </c>
      <c r="V86" s="32"/>
      <c r="W86" s="32"/>
      <c r="X86" s="53"/>
      <c r="Y86" s="21" t="str">
        <f>IFERROR(VLOOKUP(April[[#This Row],[Drug Name3]],'Data Options'!$R$1:$S$100,2,FALSE), " ")</f>
        <v xml:space="preserve"> </v>
      </c>
      <c r="Z86" s="32"/>
      <c r="AA86" s="32"/>
      <c r="AB86" s="32"/>
      <c r="AC86" s="32"/>
      <c r="AD86" s="32"/>
      <c r="AE86" s="31"/>
      <c r="AF86" s="31"/>
      <c r="AG86" s="53"/>
      <c r="AH86" s="21" t="str">
        <f>IFERROR(VLOOKUP(April[[#This Row],[Drug Name4]],'Data Options'!$R$1:$S$100,2,FALSE), " ")</f>
        <v xml:space="preserve"> </v>
      </c>
      <c r="AI86" s="32"/>
      <c r="AJ86" s="32"/>
      <c r="AK86" s="53"/>
      <c r="AL86" s="21" t="str">
        <f>IFERROR(VLOOKUP(April[[#This Row],[Drug Name5]],'Data Options'!$R$1:$S$100,2,FALSE), " ")</f>
        <v xml:space="preserve"> </v>
      </c>
      <c r="AM86" s="32"/>
      <c r="AN86" s="32"/>
      <c r="AO86" s="53"/>
      <c r="AP86" s="21" t="str">
        <f>IFERROR(VLOOKUP(April[[#This Row],[Drug Name6]],'Data Options'!$R$1:$S$100,2,FALSE), " ")</f>
        <v xml:space="preserve"> </v>
      </c>
      <c r="AQ86" s="32"/>
      <c r="AR86" s="32"/>
      <c r="AS86" s="32"/>
      <c r="AT86" s="32"/>
      <c r="AU86" s="32"/>
      <c r="AV86" s="31"/>
      <c r="AW86" s="31"/>
      <c r="AX86" s="53"/>
      <c r="AY86" s="21" t="str">
        <f>IFERROR(VLOOKUP(April[[#This Row],[Drug Name7]],'Data Options'!$R$1:$S$100,2,FALSE), " ")</f>
        <v xml:space="preserve"> </v>
      </c>
      <c r="AZ86" s="32"/>
      <c r="BA86" s="32"/>
      <c r="BB86" s="53"/>
      <c r="BC86" s="21" t="str">
        <f>IFERROR(VLOOKUP(April[[#This Row],[Drug Name8]],'Data Options'!$R$1:$S$100,2,FALSE), " ")</f>
        <v xml:space="preserve"> </v>
      </c>
      <c r="BD86" s="32"/>
      <c r="BE86" s="32"/>
      <c r="BF86" s="53"/>
      <c r="BG86" s="21" t="str">
        <f>IFERROR(VLOOKUP(April[[#This Row],[Drug Name9]],'Data Options'!$R$1:$S$100,2,FALSE), " ")</f>
        <v xml:space="preserve"> </v>
      </c>
      <c r="BH86" s="32"/>
      <c r="BI86" s="32"/>
    </row>
    <row r="87" spans="1:61">
      <c r="A87" s="5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53"/>
      <c r="Q87" s="21" t="str">
        <f>IFERROR(VLOOKUP(April[[#This Row],[Drug Name]],'Data Options'!$R$1:$S$100,2,FALSE), " ")</f>
        <v xml:space="preserve"> </v>
      </c>
      <c r="R87" s="32"/>
      <c r="S87" s="32"/>
      <c r="T87" s="53"/>
      <c r="U87" s="21" t="str">
        <f>IFERROR(VLOOKUP(April[[#This Row],[Drug Name2]],'Data Options'!$R$1:$S$100,2,FALSE), " ")</f>
        <v xml:space="preserve"> </v>
      </c>
      <c r="V87" s="32"/>
      <c r="W87" s="32"/>
      <c r="X87" s="53"/>
      <c r="Y87" s="21" t="str">
        <f>IFERROR(VLOOKUP(April[[#This Row],[Drug Name3]],'Data Options'!$R$1:$S$100,2,FALSE), " ")</f>
        <v xml:space="preserve"> </v>
      </c>
      <c r="Z87" s="32"/>
      <c r="AA87" s="32"/>
      <c r="AB87" s="32"/>
      <c r="AC87" s="32"/>
      <c r="AD87" s="32"/>
      <c r="AE87" s="31"/>
      <c r="AF87" s="31"/>
      <c r="AG87" s="53"/>
      <c r="AH87" s="21" t="str">
        <f>IFERROR(VLOOKUP(April[[#This Row],[Drug Name4]],'Data Options'!$R$1:$S$100,2,FALSE), " ")</f>
        <v xml:space="preserve"> </v>
      </c>
      <c r="AI87" s="32"/>
      <c r="AJ87" s="32"/>
      <c r="AK87" s="53"/>
      <c r="AL87" s="21" t="str">
        <f>IFERROR(VLOOKUP(April[[#This Row],[Drug Name5]],'Data Options'!$R$1:$S$100,2,FALSE), " ")</f>
        <v xml:space="preserve"> </v>
      </c>
      <c r="AM87" s="32"/>
      <c r="AN87" s="32"/>
      <c r="AO87" s="53"/>
      <c r="AP87" s="21" t="str">
        <f>IFERROR(VLOOKUP(April[[#This Row],[Drug Name6]],'Data Options'!$R$1:$S$100,2,FALSE), " ")</f>
        <v xml:space="preserve"> </v>
      </c>
      <c r="AQ87" s="32"/>
      <c r="AR87" s="32"/>
      <c r="AS87" s="32"/>
      <c r="AT87" s="32"/>
      <c r="AU87" s="32"/>
      <c r="AV87" s="31"/>
      <c r="AW87" s="31"/>
      <c r="AX87" s="53"/>
      <c r="AY87" s="21" t="str">
        <f>IFERROR(VLOOKUP(April[[#This Row],[Drug Name7]],'Data Options'!$R$1:$S$100,2,FALSE), " ")</f>
        <v xml:space="preserve"> </v>
      </c>
      <c r="AZ87" s="32"/>
      <c r="BA87" s="32"/>
      <c r="BB87" s="53"/>
      <c r="BC87" s="21" t="str">
        <f>IFERROR(VLOOKUP(April[[#This Row],[Drug Name8]],'Data Options'!$R$1:$S$100,2,FALSE), " ")</f>
        <v xml:space="preserve"> </v>
      </c>
      <c r="BD87" s="32"/>
      <c r="BE87" s="32"/>
      <c r="BF87" s="53"/>
      <c r="BG87" s="21" t="str">
        <f>IFERROR(VLOOKUP(April[[#This Row],[Drug Name9]],'Data Options'!$R$1:$S$100,2,FALSE), " ")</f>
        <v xml:space="preserve"> </v>
      </c>
      <c r="BH87" s="32"/>
      <c r="BI87" s="32"/>
    </row>
    <row r="88" spans="1:61">
      <c r="A88" s="5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53"/>
      <c r="Q88" s="21" t="str">
        <f>IFERROR(VLOOKUP(April[[#This Row],[Drug Name]],'Data Options'!$R$1:$S$100,2,FALSE), " ")</f>
        <v xml:space="preserve"> </v>
      </c>
      <c r="R88" s="32"/>
      <c r="S88" s="32"/>
      <c r="T88" s="53"/>
      <c r="U88" s="21" t="str">
        <f>IFERROR(VLOOKUP(April[[#This Row],[Drug Name2]],'Data Options'!$R$1:$S$100,2,FALSE), " ")</f>
        <v xml:space="preserve"> </v>
      </c>
      <c r="V88" s="32"/>
      <c r="W88" s="32"/>
      <c r="X88" s="53"/>
      <c r="Y88" s="21" t="str">
        <f>IFERROR(VLOOKUP(April[[#This Row],[Drug Name3]],'Data Options'!$R$1:$S$100,2,FALSE), " ")</f>
        <v xml:space="preserve"> </v>
      </c>
      <c r="Z88" s="32"/>
      <c r="AA88" s="32"/>
      <c r="AB88" s="32"/>
      <c r="AC88" s="32"/>
      <c r="AD88" s="32"/>
      <c r="AE88" s="31"/>
      <c r="AF88" s="31"/>
      <c r="AG88" s="53"/>
      <c r="AH88" s="21" t="str">
        <f>IFERROR(VLOOKUP(April[[#This Row],[Drug Name4]],'Data Options'!$R$1:$S$100,2,FALSE), " ")</f>
        <v xml:space="preserve"> </v>
      </c>
      <c r="AI88" s="32"/>
      <c r="AJ88" s="32"/>
      <c r="AK88" s="53"/>
      <c r="AL88" s="21" t="str">
        <f>IFERROR(VLOOKUP(April[[#This Row],[Drug Name5]],'Data Options'!$R$1:$S$100,2,FALSE), " ")</f>
        <v xml:space="preserve"> </v>
      </c>
      <c r="AM88" s="32"/>
      <c r="AN88" s="32"/>
      <c r="AO88" s="53"/>
      <c r="AP88" s="21" t="str">
        <f>IFERROR(VLOOKUP(April[[#This Row],[Drug Name6]],'Data Options'!$R$1:$S$100,2,FALSE), " ")</f>
        <v xml:space="preserve"> </v>
      </c>
      <c r="AQ88" s="32"/>
      <c r="AR88" s="32"/>
      <c r="AS88" s="32"/>
      <c r="AT88" s="32"/>
      <c r="AU88" s="32"/>
      <c r="AV88" s="31"/>
      <c r="AW88" s="31"/>
      <c r="AX88" s="53"/>
      <c r="AY88" s="21" t="str">
        <f>IFERROR(VLOOKUP(April[[#This Row],[Drug Name7]],'Data Options'!$R$1:$S$100,2,FALSE), " ")</f>
        <v xml:space="preserve"> </v>
      </c>
      <c r="AZ88" s="32"/>
      <c r="BA88" s="32"/>
      <c r="BB88" s="53"/>
      <c r="BC88" s="21" t="str">
        <f>IFERROR(VLOOKUP(April[[#This Row],[Drug Name8]],'Data Options'!$R$1:$S$100,2,FALSE), " ")</f>
        <v xml:space="preserve"> </v>
      </c>
      <c r="BD88" s="32"/>
      <c r="BE88" s="32"/>
      <c r="BF88" s="53"/>
      <c r="BG88" s="21" t="str">
        <f>IFERROR(VLOOKUP(April[[#This Row],[Drug Name9]],'Data Options'!$R$1:$S$100,2,FALSE), " ")</f>
        <v xml:space="preserve"> </v>
      </c>
      <c r="BH88" s="32"/>
      <c r="BI88" s="32"/>
    </row>
    <row r="89" spans="1:61">
      <c r="A89" s="5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53"/>
      <c r="Q89" s="21" t="str">
        <f>IFERROR(VLOOKUP(April[[#This Row],[Drug Name]],'Data Options'!$R$1:$S$100,2,FALSE), " ")</f>
        <v xml:space="preserve"> </v>
      </c>
      <c r="R89" s="32"/>
      <c r="S89" s="32"/>
      <c r="T89" s="53"/>
      <c r="U89" s="21" t="str">
        <f>IFERROR(VLOOKUP(April[[#This Row],[Drug Name2]],'Data Options'!$R$1:$S$100,2,FALSE), " ")</f>
        <v xml:space="preserve"> </v>
      </c>
      <c r="V89" s="32"/>
      <c r="W89" s="32"/>
      <c r="X89" s="53"/>
      <c r="Y89" s="21" t="str">
        <f>IFERROR(VLOOKUP(April[[#This Row],[Drug Name3]],'Data Options'!$R$1:$S$100,2,FALSE), " ")</f>
        <v xml:space="preserve"> </v>
      </c>
      <c r="Z89" s="32"/>
      <c r="AA89" s="32"/>
      <c r="AB89" s="32"/>
      <c r="AC89" s="32"/>
      <c r="AD89" s="32"/>
      <c r="AE89" s="31"/>
      <c r="AF89" s="31"/>
      <c r="AG89" s="53"/>
      <c r="AH89" s="21" t="str">
        <f>IFERROR(VLOOKUP(April[[#This Row],[Drug Name4]],'Data Options'!$R$1:$S$100,2,FALSE), " ")</f>
        <v xml:space="preserve"> </v>
      </c>
      <c r="AI89" s="32"/>
      <c r="AJ89" s="32"/>
      <c r="AK89" s="53"/>
      <c r="AL89" s="21" t="str">
        <f>IFERROR(VLOOKUP(April[[#This Row],[Drug Name5]],'Data Options'!$R$1:$S$100,2,FALSE), " ")</f>
        <v xml:space="preserve"> </v>
      </c>
      <c r="AM89" s="32"/>
      <c r="AN89" s="32"/>
      <c r="AO89" s="53"/>
      <c r="AP89" s="21" t="str">
        <f>IFERROR(VLOOKUP(April[[#This Row],[Drug Name6]],'Data Options'!$R$1:$S$100,2,FALSE), " ")</f>
        <v xml:space="preserve"> </v>
      </c>
      <c r="AQ89" s="32"/>
      <c r="AR89" s="32"/>
      <c r="AS89" s="32"/>
      <c r="AT89" s="32"/>
      <c r="AU89" s="32"/>
      <c r="AV89" s="31"/>
      <c r="AW89" s="31"/>
      <c r="AX89" s="53"/>
      <c r="AY89" s="21" t="str">
        <f>IFERROR(VLOOKUP(April[[#This Row],[Drug Name7]],'Data Options'!$R$1:$S$100,2,FALSE), " ")</f>
        <v xml:space="preserve"> </v>
      </c>
      <c r="AZ89" s="32"/>
      <c r="BA89" s="32"/>
      <c r="BB89" s="53"/>
      <c r="BC89" s="21" t="str">
        <f>IFERROR(VLOOKUP(April[[#This Row],[Drug Name8]],'Data Options'!$R$1:$S$100,2,FALSE), " ")</f>
        <v xml:space="preserve"> </v>
      </c>
      <c r="BD89" s="32"/>
      <c r="BE89" s="32"/>
      <c r="BF89" s="53"/>
      <c r="BG89" s="21" t="str">
        <f>IFERROR(VLOOKUP(April[[#This Row],[Drug Name9]],'Data Options'!$R$1:$S$100,2,FALSE), " ")</f>
        <v xml:space="preserve"> </v>
      </c>
      <c r="BH89" s="32"/>
      <c r="BI89" s="32"/>
    </row>
    <row r="90" spans="1:61">
      <c r="A90" s="5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53"/>
      <c r="Q90" s="21" t="str">
        <f>IFERROR(VLOOKUP(April[[#This Row],[Drug Name]],'Data Options'!$R$1:$S$100,2,FALSE), " ")</f>
        <v xml:space="preserve"> </v>
      </c>
      <c r="R90" s="32"/>
      <c r="S90" s="32"/>
      <c r="T90" s="53"/>
      <c r="U90" s="21" t="str">
        <f>IFERROR(VLOOKUP(April[[#This Row],[Drug Name2]],'Data Options'!$R$1:$S$100,2,FALSE), " ")</f>
        <v xml:space="preserve"> </v>
      </c>
      <c r="V90" s="32"/>
      <c r="W90" s="32"/>
      <c r="X90" s="53"/>
      <c r="Y90" s="21" t="str">
        <f>IFERROR(VLOOKUP(April[[#This Row],[Drug Name3]],'Data Options'!$R$1:$S$100,2,FALSE), " ")</f>
        <v xml:space="preserve"> </v>
      </c>
      <c r="Z90" s="32"/>
      <c r="AA90" s="32"/>
      <c r="AB90" s="32"/>
      <c r="AC90" s="32"/>
      <c r="AD90" s="32"/>
      <c r="AE90" s="31"/>
      <c r="AF90" s="31"/>
      <c r="AG90" s="53"/>
      <c r="AH90" s="21" t="str">
        <f>IFERROR(VLOOKUP(April[[#This Row],[Drug Name4]],'Data Options'!$R$1:$S$100,2,FALSE), " ")</f>
        <v xml:space="preserve"> </v>
      </c>
      <c r="AI90" s="32"/>
      <c r="AJ90" s="32"/>
      <c r="AK90" s="53"/>
      <c r="AL90" s="21" t="str">
        <f>IFERROR(VLOOKUP(April[[#This Row],[Drug Name5]],'Data Options'!$R$1:$S$100,2,FALSE), " ")</f>
        <v xml:space="preserve"> </v>
      </c>
      <c r="AM90" s="32"/>
      <c r="AN90" s="32"/>
      <c r="AO90" s="53"/>
      <c r="AP90" s="21" t="str">
        <f>IFERROR(VLOOKUP(April[[#This Row],[Drug Name6]],'Data Options'!$R$1:$S$100,2,FALSE), " ")</f>
        <v xml:space="preserve"> </v>
      </c>
      <c r="AQ90" s="32"/>
      <c r="AR90" s="32"/>
      <c r="AS90" s="32"/>
      <c r="AT90" s="32"/>
      <c r="AU90" s="32"/>
      <c r="AV90" s="31"/>
      <c r="AW90" s="31"/>
      <c r="AX90" s="53"/>
      <c r="AY90" s="21" t="str">
        <f>IFERROR(VLOOKUP(April[[#This Row],[Drug Name7]],'Data Options'!$R$1:$S$100,2,FALSE), " ")</f>
        <v xml:space="preserve"> </v>
      </c>
      <c r="AZ90" s="32"/>
      <c r="BA90" s="32"/>
      <c r="BB90" s="53"/>
      <c r="BC90" s="21" t="str">
        <f>IFERROR(VLOOKUP(April[[#This Row],[Drug Name8]],'Data Options'!$R$1:$S$100,2,FALSE), " ")</f>
        <v xml:space="preserve"> </v>
      </c>
      <c r="BD90" s="32"/>
      <c r="BE90" s="32"/>
      <c r="BF90" s="53"/>
      <c r="BG90" s="21" t="str">
        <f>IFERROR(VLOOKUP(April[[#This Row],[Drug Name9]],'Data Options'!$R$1:$S$100,2,FALSE), " ")</f>
        <v xml:space="preserve"> </v>
      </c>
      <c r="BH90" s="32"/>
      <c r="BI90" s="32"/>
    </row>
    <row r="91" spans="1:61">
      <c r="A91" s="5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53"/>
      <c r="Q91" s="21" t="str">
        <f>IFERROR(VLOOKUP(April[[#This Row],[Drug Name]],'Data Options'!$R$1:$S$100,2,FALSE), " ")</f>
        <v xml:space="preserve"> </v>
      </c>
      <c r="R91" s="32"/>
      <c r="S91" s="32"/>
      <c r="T91" s="53"/>
      <c r="U91" s="21" t="str">
        <f>IFERROR(VLOOKUP(April[[#This Row],[Drug Name2]],'Data Options'!$R$1:$S$100,2,FALSE), " ")</f>
        <v xml:space="preserve"> </v>
      </c>
      <c r="V91" s="32"/>
      <c r="W91" s="32"/>
      <c r="X91" s="53"/>
      <c r="Y91" s="21" t="str">
        <f>IFERROR(VLOOKUP(April[[#This Row],[Drug Name3]],'Data Options'!$R$1:$S$100,2,FALSE), " ")</f>
        <v xml:space="preserve"> </v>
      </c>
      <c r="Z91" s="32"/>
      <c r="AA91" s="32"/>
      <c r="AB91" s="32"/>
      <c r="AC91" s="32"/>
      <c r="AD91" s="32"/>
      <c r="AE91" s="31"/>
      <c r="AF91" s="31"/>
      <c r="AG91" s="53"/>
      <c r="AH91" s="21" t="str">
        <f>IFERROR(VLOOKUP(April[[#This Row],[Drug Name4]],'Data Options'!$R$1:$S$100,2,FALSE), " ")</f>
        <v xml:space="preserve"> </v>
      </c>
      <c r="AI91" s="32"/>
      <c r="AJ91" s="32"/>
      <c r="AK91" s="53"/>
      <c r="AL91" s="21" t="str">
        <f>IFERROR(VLOOKUP(April[[#This Row],[Drug Name5]],'Data Options'!$R$1:$S$100,2,FALSE), " ")</f>
        <v xml:space="preserve"> </v>
      </c>
      <c r="AM91" s="32"/>
      <c r="AN91" s="32"/>
      <c r="AO91" s="53"/>
      <c r="AP91" s="21" t="str">
        <f>IFERROR(VLOOKUP(April[[#This Row],[Drug Name6]],'Data Options'!$R$1:$S$100,2,FALSE), " ")</f>
        <v xml:space="preserve"> </v>
      </c>
      <c r="AQ91" s="32"/>
      <c r="AR91" s="32"/>
      <c r="AS91" s="32"/>
      <c r="AT91" s="32"/>
      <c r="AU91" s="32"/>
      <c r="AV91" s="31"/>
      <c r="AW91" s="31"/>
      <c r="AX91" s="53"/>
      <c r="AY91" s="21" t="str">
        <f>IFERROR(VLOOKUP(April[[#This Row],[Drug Name7]],'Data Options'!$R$1:$S$100,2,FALSE), " ")</f>
        <v xml:space="preserve"> </v>
      </c>
      <c r="AZ91" s="32"/>
      <c r="BA91" s="32"/>
      <c r="BB91" s="53"/>
      <c r="BC91" s="21" t="str">
        <f>IFERROR(VLOOKUP(April[[#This Row],[Drug Name8]],'Data Options'!$R$1:$S$100,2,FALSE), " ")</f>
        <v xml:space="preserve"> </v>
      </c>
      <c r="BD91" s="32"/>
      <c r="BE91" s="32"/>
      <c r="BF91" s="53"/>
      <c r="BG91" s="21" t="str">
        <f>IFERROR(VLOOKUP(April[[#This Row],[Drug Name9]],'Data Options'!$R$1:$S$100,2,FALSE), " ")</f>
        <v xml:space="preserve"> </v>
      </c>
      <c r="BH91" s="32"/>
      <c r="BI91" s="32"/>
    </row>
    <row r="92" spans="1:61">
      <c r="A92" s="5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53"/>
      <c r="Q92" s="21" t="str">
        <f>IFERROR(VLOOKUP(April[[#This Row],[Drug Name]],'Data Options'!$R$1:$S$100,2,FALSE), " ")</f>
        <v xml:space="preserve"> </v>
      </c>
      <c r="R92" s="32"/>
      <c r="S92" s="32"/>
      <c r="T92" s="53"/>
      <c r="U92" s="21" t="str">
        <f>IFERROR(VLOOKUP(April[[#This Row],[Drug Name2]],'Data Options'!$R$1:$S$100,2,FALSE), " ")</f>
        <v xml:space="preserve"> </v>
      </c>
      <c r="V92" s="32"/>
      <c r="W92" s="32"/>
      <c r="X92" s="53"/>
      <c r="Y92" s="21" t="str">
        <f>IFERROR(VLOOKUP(April[[#This Row],[Drug Name3]],'Data Options'!$R$1:$S$100,2,FALSE), " ")</f>
        <v xml:space="preserve"> </v>
      </c>
      <c r="Z92" s="32"/>
      <c r="AA92" s="32"/>
      <c r="AB92" s="32"/>
      <c r="AC92" s="32"/>
      <c r="AD92" s="32"/>
      <c r="AE92" s="31"/>
      <c r="AF92" s="31"/>
      <c r="AG92" s="53"/>
      <c r="AH92" s="21" t="str">
        <f>IFERROR(VLOOKUP(April[[#This Row],[Drug Name4]],'Data Options'!$R$1:$S$100,2,FALSE), " ")</f>
        <v xml:space="preserve"> </v>
      </c>
      <c r="AI92" s="32"/>
      <c r="AJ92" s="32"/>
      <c r="AK92" s="53"/>
      <c r="AL92" s="21" t="str">
        <f>IFERROR(VLOOKUP(April[[#This Row],[Drug Name5]],'Data Options'!$R$1:$S$100,2,FALSE), " ")</f>
        <v xml:space="preserve"> </v>
      </c>
      <c r="AM92" s="32"/>
      <c r="AN92" s="32"/>
      <c r="AO92" s="53"/>
      <c r="AP92" s="21" t="str">
        <f>IFERROR(VLOOKUP(April[[#This Row],[Drug Name6]],'Data Options'!$R$1:$S$100,2,FALSE), " ")</f>
        <v xml:space="preserve"> </v>
      </c>
      <c r="AQ92" s="32"/>
      <c r="AR92" s="32"/>
      <c r="AS92" s="32"/>
      <c r="AT92" s="32"/>
      <c r="AU92" s="32"/>
      <c r="AV92" s="31"/>
      <c r="AW92" s="31"/>
      <c r="AX92" s="53"/>
      <c r="AY92" s="21" t="str">
        <f>IFERROR(VLOOKUP(April[[#This Row],[Drug Name7]],'Data Options'!$R$1:$S$100,2,FALSE), " ")</f>
        <v xml:space="preserve"> </v>
      </c>
      <c r="AZ92" s="32"/>
      <c r="BA92" s="32"/>
      <c r="BB92" s="53"/>
      <c r="BC92" s="21" t="str">
        <f>IFERROR(VLOOKUP(April[[#This Row],[Drug Name8]],'Data Options'!$R$1:$S$100,2,FALSE), " ")</f>
        <v xml:space="preserve"> </v>
      </c>
      <c r="BD92" s="32"/>
      <c r="BE92" s="32"/>
      <c r="BF92" s="53"/>
      <c r="BG92" s="21" t="str">
        <f>IFERROR(VLOOKUP(April[[#This Row],[Drug Name9]],'Data Options'!$R$1:$S$100,2,FALSE), " ")</f>
        <v xml:space="preserve"> </v>
      </c>
      <c r="BH92" s="32"/>
      <c r="BI92" s="32"/>
    </row>
    <row r="93" spans="1:61">
      <c r="A93" s="5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53"/>
      <c r="Q93" s="21" t="str">
        <f>IFERROR(VLOOKUP(April[[#This Row],[Drug Name]],'Data Options'!$R$1:$S$100,2,FALSE), " ")</f>
        <v xml:space="preserve"> </v>
      </c>
      <c r="R93" s="32"/>
      <c r="S93" s="32"/>
      <c r="T93" s="53"/>
      <c r="U93" s="21" t="str">
        <f>IFERROR(VLOOKUP(April[[#This Row],[Drug Name2]],'Data Options'!$R$1:$S$100,2,FALSE), " ")</f>
        <v xml:space="preserve"> </v>
      </c>
      <c r="V93" s="32"/>
      <c r="W93" s="32"/>
      <c r="X93" s="53"/>
      <c r="Y93" s="21" t="str">
        <f>IFERROR(VLOOKUP(April[[#This Row],[Drug Name3]],'Data Options'!$R$1:$S$100,2,FALSE), " ")</f>
        <v xml:space="preserve"> </v>
      </c>
      <c r="Z93" s="32"/>
      <c r="AA93" s="32"/>
      <c r="AB93" s="32"/>
      <c r="AC93" s="32"/>
      <c r="AD93" s="32"/>
      <c r="AE93" s="31"/>
      <c r="AF93" s="31"/>
      <c r="AG93" s="53"/>
      <c r="AH93" s="21" t="str">
        <f>IFERROR(VLOOKUP(April[[#This Row],[Drug Name4]],'Data Options'!$R$1:$S$100,2,FALSE), " ")</f>
        <v xml:space="preserve"> </v>
      </c>
      <c r="AI93" s="32"/>
      <c r="AJ93" s="32"/>
      <c r="AK93" s="53"/>
      <c r="AL93" s="21" t="str">
        <f>IFERROR(VLOOKUP(April[[#This Row],[Drug Name5]],'Data Options'!$R$1:$S$100,2,FALSE), " ")</f>
        <v xml:space="preserve"> </v>
      </c>
      <c r="AM93" s="32"/>
      <c r="AN93" s="32"/>
      <c r="AO93" s="53"/>
      <c r="AP93" s="21" t="str">
        <f>IFERROR(VLOOKUP(April[[#This Row],[Drug Name6]],'Data Options'!$R$1:$S$100,2,FALSE), " ")</f>
        <v xml:space="preserve"> </v>
      </c>
      <c r="AQ93" s="32"/>
      <c r="AR93" s="32"/>
      <c r="AS93" s="32"/>
      <c r="AT93" s="32"/>
      <c r="AU93" s="32"/>
      <c r="AV93" s="31"/>
      <c r="AW93" s="31"/>
      <c r="AX93" s="53"/>
      <c r="AY93" s="21" t="str">
        <f>IFERROR(VLOOKUP(April[[#This Row],[Drug Name7]],'Data Options'!$R$1:$S$100,2,FALSE), " ")</f>
        <v xml:space="preserve"> </v>
      </c>
      <c r="AZ93" s="32"/>
      <c r="BA93" s="32"/>
      <c r="BB93" s="53"/>
      <c r="BC93" s="21" t="str">
        <f>IFERROR(VLOOKUP(April[[#This Row],[Drug Name8]],'Data Options'!$R$1:$S$100,2,FALSE), " ")</f>
        <v xml:space="preserve"> </v>
      </c>
      <c r="BD93" s="32"/>
      <c r="BE93" s="32"/>
      <c r="BF93" s="53"/>
      <c r="BG93" s="21" t="str">
        <f>IFERROR(VLOOKUP(April[[#This Row],[Drug Name9]],'Data Options'!$R$1:$S$100,2,FALSE), " ")</f>
        <v xml:space="preserve"> </v>
      </c>
      <c r="BH93" s="32"/>
      <c r="BI93" s="32"/>
    </row>
    <row r="94" spans="1:61">
      <c r="A94" s="5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53"/>
      <c r="Q94" s="21" t="str">
        <f>IFERROR(VLOOKUP(April[[#This Row],[Drug Name]],'Data Options'!$R$1:$S$100,2,FALSE), " ")</f>
        <v xml:space="preserve"> </v>
      </c>
      <c r="R94" s="32"/>
      <c r="S94" s="32"/>
      <c r="T94" s="53"/>
      <c r="U94" s="21" t="str">
        <f>IFERROR(VLOOKUP(April[[#This Row],[Drug Name2]],'Data Options'!$R$1:$S$100,2,FALSE), " ")</f>
        <v xml:space="preserve"> </v>
      </c>
      <c r="V94" s="32"/>
      <c r="W94" s="32"/>
      <c r="X94" s="53"/>
      <c r="Y94" s="21" t="str">
        <f>IFERROR(VLOOKUP(April[[#This Row],[Drug Name3]],'Data Options'!$R$1:$S$100,2,FALSE), " ")</f>
        <v xml:space="preserve"> </v>
      </c>
      <c r="Z94" s="32"/>
      <c r="AA94" s="32"/>
      <c r="AB94" s="32"/>
      <c r="AC94" s="32"/>
      <c r="AD94" s="32"/>
      <c r="AE94" s="31"/>
      <c r="AF94" s="31"/>
      <c r="AG94" s="53"/>
      <c r="AH94" s="21" t="str">
        <f>IFERROR(VLOOKUP(April[[#This Row],[Drug Name4]],'Data Options'!$R$1:$S$100,2,FALSE), " ")</f>
        <v xml:space="preserve"> </v>
      </c>
      <c r="AI94" s="32"/>
      <c r="AJ94" s="32"/>
      <c r="AK94" s="53"/>
      <c r="AL94" s="21" t="str">
        <f>IFERROR(VLOOKUP(April[[#This Row],[Drug Name5]],'Data Options'!$R$1:$S$100,2,FALSE), " ")</f>
        <v xml:space="preserve"> </v>
      </c>
      <c r="AM94" s="32"/>
      <c r="AN94" s="32"/>
      <c r="AO94" s="53"/>
      <c r="AP94" s="21" t="str">
        <f>IFERROR(VLOOKUP(April[[#This Row],[Drug Name6]],'Data Options'!$R$1:$S$100,2,FALSE), " ")</f>
        <v xml:space="preserve"> </v>
      </c>
      <c r="AQ94" s="32"/>
      <c r="AR94" s="32"/>
      <c r="AS94" s="32"/>
      <c r="AT94" s="32"/>
      <c r="AU94" s="32"/>
      <c r="AV94" s="31"/>
      <c r="AW94" s="31"/>
      <c r="AX94" s="53"/>
      <c r="AY94" s="21" t="str">
        <f>IFERROR(VLOOKUP(April[[#This Row],[Drug Name7]],'Data Options'!$R$1:$S$100,2,FALSE), " ")</f>
        <v xml:space="preserve"> </v>
      </c>
      <c r="AZ94" s="32"/>
      <c r="BA94" s="32"/>
      <c r="BB94" s="53"/>
      <c r="BC94" s="21" t="str">
        <f>IFERROR(VLOOKUP(April[[#This Row],[Drug Name8]],'Data Options'!$R$1:$S$100,2,FALSE), " ")</f>
        <v xml:space="preserve"> </v>
      </c>
      <c r="BD94" s="32"/>
      <c r="BE94" s="32"/>
      <c r="BF94" s="53"/>
      <c r="BG94" s="21" t="str">
        <f>IFERROR(VLOOKUP(April[[#This Row],[Drug Name9]],'Data Options'!$R$1:$S$100,2,FALSE), " ")</f>
        <v xml:space="preserve"> </v>
      </c>
      <c r="BH94" s="32"/>
      <c r="BI94" s="32"/>
    </row>
    <row r="95" spans="1:61">
      <c r="A95" s="5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53"/>
      <c r="Q95" s="21" t="str">
        <f>IFERROR(VLOOKUP(April[[#This Row],[Drug Name]],'Data Options'!$R$1:$S$100,2,FALSE), " ")</f>
        <v xml:space="preserve"> </v>
      </c>
      <c r="R95" s="32"/>
      <c r="S95" s="32"/>
      <c r="T95" s="53"/>
      <c r="U95" s="21" t="str">
        <f>IFERROR(VLOOKUP(April[[#This Row],[Drug Name2]],'Data Options'!$R$1:$S$100,2,FALSE), " ")</f>
        <v xml:space="preserve"> </v>
      </c>
      <c r="V95" s="32"/>
      <c r="W95" s="32"/>
      <c r="X95" s="53"/>
      <c r="Y95" s="21" t="str">
        <f>IFERROR(VLOOKUP(April[[#This Row],[Drug Name3]],'Data Options'!$R$1:$S$100,2,FALSE), " ")</f>
        <v xml:space="preserve"> </v>
      </c>
      <c r="Z95" s="32"/>
      <c r="AA95" s="32"/>
      <c r="AB95" s="32"/>
      <c r="AC95" s="32"/>
      <c r="AD95" s="32"/>
      <c r="AE95" s="31"/>
      <c r="AF95" s="31"/>
      <c r="AG95" s="53"/>
      <c r="AH95" s="21" t="str">
        <f>IFERROR(VLOOKUP(April[[#This Row],[Drug Name4]],'Data Options'!$R$1:$S$100,2,FALSE), " ")</f>
        <v xml:space="preserve"> </v>
      </c>
      <c r="AI95" s="32"/>
      <c r="AJ95" s="32"/>
      <c r="AK95" s="53"/>
      <c r="AL95" s="21" t="str">
        <f>IFERROR(VLOOKUP(April[[#This Row],[Drug Name5]],'Data Options'!$R$1:$S$100,2,FALSE), " ")</f>
        <v xml:space="preserve"> </v>
      </c>
      <c r="AM95" s="32"/>
      <c r="AN95" s="32"/>
      <c r="AO95" s="53"/>
      <c r="AP95" s="21" t="str">
        <f>IFERROR(VLOOKUP(April[[#This Row],[Drug Name6]],'Data Options'!$R$1:$S$100,2,FALSE), " ")</f>
        <v xml:space="preserve"> </v>
      </c>
      <c r="AQ95" s="32"/>
      <c r="AR95" s="32"/>
      <c r="AS95" s="32"/>
      <c r="AT95" s="32"/>
      <c r="AU95" s="32"/>
      <c r="AV95" s="31"/>
      <c r="AW95" s="31"/>
      <c r="AX95" s="53"/>
      <c r="AY95" s="21" t="str">
        <f>IFERROR(VLOOKUP(April[[#This Row],[Drug Name7]],'Data Options'!$R$1:$S$100,2,FALSE), " ")</f>
        <v xml:space="preserve"> </v>
      </c>
      <c r="AZ95" s="32"/>
      <c r="BA95" s="32"/>
      <c r="BB95" s="53"/>
      <c r="BC95" s="21" t="str">
        <f>IFERROR(VLOOKUP(April[[#This Row],[Drug Name8]],'Data Options'!$R$1:$S$100,2,FALSE), " ")</f>
        <v xml:space="preserve"> </v>
      </c>
      <c r="BD95" s="32"/>
      <c r="BE95" s="32"/>
      <c r="BF95" s="53"/>
      <c r="BG95" s="21" t="str">
        <f>IFERROR(VLOOKUP(April[[#This Row],[Drug Name9]],'Data Options'!$R$1:$S$100,2,FALSE), " ")</f>
        <v xml:space="preserve"> </v>
      </c>
      <c r="BH95" s="32"/>
      <c r="BI95" s="32"/>
    </row>
    <row r="96" spans="1:61">
      <c r="A96" s="5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53"/>
      <c r="Q96" s="21" t="str">
        <f>IFERROR(VLOOKUP(April[[#This Row],[Drug Name]],'Data Options'!$R$1:$S$100,2,FALSE), " ")</f>
        <v xml:space="preserve"> </v>
      </c>
      <c r="R96" s="32"/>
      <c r="S96" s="32"/>
      <c r="T96" s="53"/>
      <c r="U96" s="21" t="str">
        <f>IFERROR(VLOOKUP(April[[#This Row],[Drug Name2]],'Data Options'!$R$1:$S$100,2,FALSE), " ")</f>
        <v xml:space="preserve"> </v>
      </c>
      <c r="V96" s="32"/>
      <c r="W96" s="32"/>
      <c r="X96" s="53"/>
      <c r="Y96" s="21" t="str">
        <f>IFERROR(VLOOKUP(April[[#This Row],[Drug Name3]],'Data Options'!$R$1:$S$100,2,FALSE), " ")</f>
        <v xml:space="preserve"> </v>
      </c>
      <c r="Z96" s="32"/>
      <c r="AA96" s="32"/>
      <c r="AB96" s="32"/>
      <c r="AC96" s="32"/>
      <c r="AD96" s="32"/>
      <c r="AE96" s="31"/>
      <c r="AF96" s="31"/>
      <c r="AG96" s="53"/>
      <c r="AH96" s="21" t="str">
        <f>IFERROR(VLOOKUP(April[[#This Row],[Drug Name4]],'Data Options'!$R$1:$S$100,2,FALSE), " ")</f>
        <v xml:space="preserve"> </v>
      </c>
      <c r="AI96" s="32"/>
      <c r="AJ96" s="32"/>
      <c r="AK96" s="53"/>
      <c r="AL96" s="21" t="str">
        <f>IFERROR(VLOOKUP(April[[#This Row],[Drug Name5]],'Data Options'!$R$1:$S$100,2,FALSE), " ")</f>
        <v xml:space="preserve"> </v>
      </c>
      <c r="AM96" s="32"/>
      <c r="AN96" s="32"/>
      <c r="AO96" s="53"/>
      <c r="AP96" s="21" t="str">
        <f>IFERROR(VLOOKUP(April[[#This Row],[Drug Name6]],'Data Options'!$R$1:$S$100,2,FALSE), " ")</f>
        <v xml:space="preserve"> </v>
      </c>
      <c r="AQ96" s="32"/>
      <c r="AR96" s="32"/>
      <c r="AS96" s="32"/>
      <c r="AT96" s="32"/>
      <c r="AU96" s="32"/>
      <c r="AV96" s="31"/>
      <c r="AW96" s="31"/>
      <c r="AX96" s="53"/>
      <c r="AY96" s="21" t="str">
        <f>IFERROR(VLOOKUP(April[[#This Row],[Drug Name7]],'Data Options'!$R$1:$S$100,2,FALSE), " ")</f>
        <v xml:space="preserve"> </v>
      </c>
      <c r="AZ96" s="32"/>
      <c r="BA96" s="32"/>
      <c r="BB96" s="53"/>
      <c r="BC96" s="21" t="str">
        <f>IFERROR(VLOOKUP(April[[#This Row],[Drug Name8]],'Data Options'!$R$1:$S$100,2,FALSE), " ")</f>
        <v xml:space="preserve"> </v>
      </c>
      <c r="BD96" s="32"/>
      <c r="BE96" s="32"/>
      <c r="BF96" s="53"/>
      <c r="BG96" s="21" t="str">
        <f>IFERROR(VLOOKUP(April[[#This Row],[Drug Name9]],'Data Options'!$R$1:$S$100,2,FALSE), " ")</f>
        <v xml:space="preserve"> </v>
      </c>
      <c r="BH96" s="32"/>
      <c r="BI96" s="32"/>
    </row>
    <row r="97" spans="1:61">
      <c r="A97" s="5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53"/>
      <c r="Q97" s="21" t="str">
        <f>IFERROR(VLOOKUP(April[[#This Row],[Drug Name]],'Data Options'!$R$1:$S$100,2,FALSE), " ")</f>
        <v xml:space="preserve"> </v>
      </c>
      <c r="R97" s="32"/>
      <c r="S97" s="32"/>
      <c r="T97" s="53"/>
      <c r="U97" s="21" t="str">
        <f>IFERROR(VLOOKUP(April[[#This Row],[Drug Name2]],'Data Options'!$R$1:$S$100,2,FALSE), " ")</f>
        <v xml:space="preserve"> </v>
      </c>
      <c r="V97" s="32"/>
      <c r="W97" s="32"/>
      <c r="X97" s="53"/>
      <c r="Y97" s="21" t="str">
        <f>IFERROR(VLOOKUP(April[[#This Row],[Drug Name3]],'Data Options'!$R$1:$S$100,2,FALSE), " ")</f>
        <v xml:space="preserve"> </v>
      </c>
      <c r="Z97" s="32"/>
      <c r="AA97" s="32"/>
      <c r="AB97" s="32"/>
      <c r="AC97" s="32"/>
      <c r="AD97" s="32"/>
      <c r="AE97" s="31"/>
      <c r="AF97" s="31"/>
      <c r="AG97" s="53"/>
      <c r="AH97" s="21" t="str">
        <f>IFERROR(VLOOKUP(April[[#This Row],[Drug Name4]],'Data Options'!$R$1:$S$100,2,FALSE), " ")</f>
        <v xml:space="preserve"> </v>
      </c>
      <c r="AI97" s="32"/>
      <c r="AJ97" s="32"/>
      <c r="AK97" s="53"/>
      <c r="AL97" s="21" t="str">
        <f>IFERROR(VLOOKUP(April[[#This Row],[Drug Name5]],'Data Options'!$R$1:$S$100,2,FALSE), " ")</f>
        <v xml:space="preserve"> </v>
      </c>
      <c r="AM97" s="32"/>
      <c r="AN97" s="32"/>
      <c r="AO97" s="53"/>
      <c r="AP97" s="21" t="str">
        <f>IFERROR(VLOOKUP(April[[#This Row],[Drug Name6]],'Data Options'!$R$1:$S$100,2,FALSE), " ")</f>
        <v xml:space="preserve"> </v>
      </c>
      <c r="AQ97" s="32"/>
      <c r="AR97" s="32"/>
      <c r="AS97" s="32"/>
      <c r="AT97" s="32"/>
      <c r="AU97" s="32"/>
      <c r="AV97" s="31"/>
      <c r="AW97" s="31"/>
      <c r="AX97" s="53"/>
      <c r="AY97" s="21" t="str">
        <f>IFERROR(VLOOKUP(April[[#This Row],[Drug Name7]],'Data Options'!$R$1:$S$100,2,FALSE), " ")</f>
        <v xml:space="preserve"> </v>
      </c>
      <c r="AZ97" s="32"/>
      <c r="BA97" s="32"/>
      <c r="BB97" s="53"/>
      <c r="BC97" s="21" t="str">
        <f>IFERROR(VLOOKUP(April[[#This Row],[Drug Name8]],'Data Options'!$R$1:$S$100,2,FALSE), " ")</f>
        <v xml:space="preserve"> </v>
      </c>
      <c r="BD97" s="32"/>
      <c r="BE97" s="32"/>
      <c r="BF97" s="53"/>
      <c r="BG97" s="21" t="str">
        <f>IFERROR(VLOOKUP(April[[#This Row],[Drug Name9]],'Data Options'!$R$1:$S$100,2,FALSE), " ")</f>
        <v xml:space="preserve"> </v>
      </c>
      <c r="BH97" s="32"/>
      <c r="BI97" s="32"/>
    </row>
    <row r="98" spans="1:61">
      <c r="A98" s="5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53"/>
      <c r="Q98" s="21" t="str">
        <f>IFERROR(VLOOKUP(April[[#This Row],[Drug Name]],'Data Options'!$R$1:$S$100,2,FALSE), " ")</f>
        <v xml:space="preserve"> </v>
      </c>
      <c r="R98" s="32"/>
      <c r="S98" s="32"/>
      <c r="T98" s="53"/>
      <c r="U98" s="21" t="str">
        <f>IFERROR(VLOOKUP(April[[#This Row],[Drug Name2]],'Data Options'!$R$1:$S$100,2,FALSE), " ")</f>
        <v xml:space="preserve"> </v>
      </c>
      <c r="V98" s="32"/>
      <c r="W98" s="32"/>
      <c r="X98" s="53"/>
      <c r="Y98" s="21" t="str">
        <f>IFERROR(VLOOKUP(April[[#This Row],[Drug Name3]],'Data Options'!$R$1:$S$100,2,FALSE), " ")</f>
        <v xml:space="preserve"> </v>
      </c>
      <c r="Z98" s="32"/>
      <c r="AA98" s="32"/>
      <c r="AB98" s="32"/>
      <c r="AC98" s="32"/>
      <c r="AD98" s="32"/>
      <c r="AE98" s="31"/>
      <c r="AF98" s="31"/>
      <c r="AG98" s="53"/>
      <c r="AH98" s="21" t="str">
        <f>IFERROR(VLOOKUP(April[[#This Row],[Drug Name4]],'Data Options'!$R$1:$S$100,2,FALSE), " ")</f>
        <v xml:space="preserve"> </v>
      </c>
      <c r="AI98" s="32"/>
      <c r="AJ98" s="32"/>
      <c r="AK98" s="53"/>
      <c r="AL98" s="21" t="str">
        <f>IFERROR(VLOOKUP(April[[#This Row],[Drug Name5]],'Data Options'!$R$1:$S$100,2,FALSE), " ")</f>
        <v xml:space="preserve"> </v>
      </c>
      <c r="AM98" s="32"/>
      <c r="AN98" s="32"/>
      <c r="AO98" s="53"/>
      <c r="AP98" s="21" t="str">
        <f>IFERROR(VLOOKUP(April[[#This Row],[Drug Name6]],'Data Options'!$R$1:$S$100,2,FALSE), " ")</f>
        <v xml:space="preserve"> </v>
      </c>
      <c r="AQ98" s="32"/>
      <c r="AR98" s="32"/>
      <c r="AS98" s="32"/>
      <c r="AT98" s="32"/>
      <c r="AU98" s="32"/>
      <c r="AV98" s="31"/>
      <c r="AW98" s="31"/>
      <c r="AX98" s="53"/>
      <c r="AY98" s="21" t="str">
        <f>IFERROR(VLOOKUP(April[[#This Row],[Drug Name7]],'Data Options'!$R$1:$S$100,2,FALSE), " ")</f>
        <v xml:space="preserve"> </v>
      </c>
      <c r="AZ98" s="32"/>
      <c r="BA98" s="32"/>
      <c r="BB98" s="53"/>
      <c r="BC98" s="21" t="str">
        <f>IFERROR(VLOOKUP(April[[#This Row],[Drug Name8]],'Data Options'!$R$1:$S$100,2,FALSE), " ")</f>
        <v xml:space="preserve"> </v>
      </c>
      <c r="BD98" s="32"/>
      <c r="BE98" s="32"/>
      <c r="BF98" s="53"/>
      <c r="BG98" s="21" t="str">
        <f>IFERROR(VLOOKUP(April[[#This Row],[Drug Name9]],'Data Options'!$R$1:$S$100,2,FALSE), " ")</f>
        <v xml:space="preserve"> </v>
      </c>
      <c r="BH98" s="32"/>
      <c r="BI98" s="32"/>
    </row>
    <row r="99" spans="1:61">
      <c r="A99" s="5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53"/>
      <c r="Q99" s="21" t="str">
        <f>IFERROR(VLOOKUP(April[[#This Row],[Drug Name]],'Data Options'!$R$1:$S$100,2,FALSE), " ")</f>
        <v xml:space="preserve"> </v>
      </c>
      <c r="R99" s="32"/>
      <c r="S99" s="32"/>
      <c r="T99" s="53"/>
      <c r="U99" s="21" t="str">
        <f>IFERROR(VLOOKUP(April[[#This Row],[Drug Name2]],'Data Options'!$R$1:$S$100,2,FALSE), " ")</f>
        <v xml:space="preserve"> </v>
      </c>
      <c r="V99" s="32"/>
      <c r="W99" s="32"/>
      <c r="X99" s="53"/>
      <c r="Y99" s="21" t="str">
        <f>IFERROR(VLOOKUP(April[[#This Row],[Drug Name3]],'Data Options'!$R$1:$S$100,2,FALSE), " ")</f>
        <v xml:space="preserve"> </v>
      </c>
      <c r="Z99" s="32"/>
      <c r="AA99" s="32"/>
      <c r="AB99" s="32"/>
      <c r="AC99" s="32"/>
      <c r="AD99" s="32"/>
      <c r="AE99" s="31"/>
      <c r="AF99" s="31"/>
      <c r="AG99" s="53"/>
      <c r="AH99" s="21" t="str">
        <f>IFERROR(VLOOKUP(April[[#This Row],[Drug Name4]],'Data Options'!$R$1:$S$100,2,FALSE), " ")</f>
        <v xml:space="preserve"> </v>
      </c>
      <c r="AI99" s="32"/>
      <c r="AJ99" s="32"/>
      <c r="AK99" s="53"/>
      <c r="AL99" s="21" t="str">
        <f>IFERROR(VLOOKUP(April[[#This Row],[Drug Name5]],'Data Options'!$R$1:$S$100,2,FALSE), " ")</f>
        <v xml:space="preserve"> </v>
      </c>
      <c r="AM99" s="32"/>
      <c r="AN99" s="32"/>
      <c r="AO99" s="53"/>
      <c r="AP99" s="21" t="str">
        <f>IFERROR(VLOOKUP(April[[#This Row],[Drug Name6]],'Data Options'!$R$1:$S$100,2,FALSE), " ")</f>
        <v xml:space="preserve"> </v>
      </c>
      <c r="AQ99" s="32"/>
      <c r="AR99" s="32"/>
      <c r="AS99" s="32"/>
      <c r="AT99" s="32"/>
      <c r="AU99" s="32"/>
      <c r="AV99" s="31"/>
      <c r="AW99" s="31"/>
      <c r="AX99" s="53"/>
      <c r="AY99" s="21" t="str">
        <f>IFERROR(VLOOKUP(April[[#This Row],[Drug Name7]],'Data Options'!$R$1:$S$100,2,FALSE), " ")</f>
        <v xml:space="preserve"> </v>
      </c>
      <c r="AZ99" s="32"/>
      <c r="BA99" s="32"/>
      <c r="BB99" s="53"/>
      <c r="BC99" s="21" t="str">
        <f>IFERROR(VLOOKUP(April[[#This Row],[Drug Name8]],'Data Options'!$R$1:$S$100,2,FALSE), " ")</f>
        <v xml:space="preserve"> </v>
      </c>
      <c r="BD99" s="32"/>
      <c r="BE99" s="32"/>
      <c r="BF99" s="53"/>
      <c r="BG99" s="21" t="str">
        <f>IFERROR(VLOOKUP(April[[#This Row],[Drug Name9]],'Data Options'!$R$1:$S$100,2,FALSE), " ")</f>
        <v xml:space="preserve"> </v>
      </c>
      <c r="BH99" s="32"/>
      <c r="BI99" s="32"/>
    </row>
    <row r="100" spans="1:61">
      <c r="A100" s="51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53"/>
      <c r="Q100" s="21" t="str">
        <f>IFERROR(VLOOKUP(April[[#This Row],[Drug Name]],'Data Options'!$R$1:$S$100,2,FALSE), " ")</f>
        <v xml:space="preserve"> </v>
      </c>
      <c r="R100" s="32"/>
      <c r="S100" s="32"/>
      <c r="T100" s="53"/>
      <c r="U100" s="21" t="str">
        <f>IFERROR(VLOOKUP(April[[#This Row],[Drug Name2]],'Data Options'!$R$1:$S$100,2,FALSE), " ")</f>
        <v xml:space="preserve"> </v>
      </c>
      <c r="V100" s="32"/>
      <c r="W100" s="32"/>
      <c r="X100" s="53"/>
      <c r="Y100" s="21" t="str">
        <f>IFERROR(VLOOKUP(April[[#This Row],[Drug Name3]],'Data Options'!$R$1:$S$100,2,FALSE), " ")</f>
        <v xml:space="preserve"> </v>
      </c>
      <c r="Z100" s="32"/>
      <c r="AA100" s="32"/>
      <c r="AB100" s="32"/>
      <c r="AC100" s="32"/>
      <c r="AD100" s="32"/>
      <c r="AE100" s="31"/>
      <c r="AF100" s="31"/>
      <c r="AG100" s="53"/>
      <c r="AH100" s="21" t="str">
        <f>IFERROR(VLOOKUP(April[[#This Row],[Drug Name4]],'Data Options'!$R$1:$S$100,2,FALSE), " ")</f>
        <v xml:space="preserve"> </v>
      </c>
      <c r="AI100" s="32"/>
      <c r="AJ100" s="32"/>
      <c r="AK100" s="53"/>
      <c r="AL100" s="21" t="str">
        <f>IFERROR(VLOOKUP(April[[#This Row],[Drug Name5]],'Data Options'!$R$1:$S$100,2,FALSE), " ")</f>
        <v xml:space="preserve"> </v>
      </c>
      <c r="AM100" s="32"/>
      <c r="AN100" s="32"/>
      <c r="AO100" s="53"/>
      <c r="AP100" s="21" t="str">
        <f>IFERROR(VLOOKUP(April[[#This Row],[Drug Name6]],'Data Options'!$R$1:$S$100,2,FALSE), " ")</f>
        <v xml:space="preserve"> </v>
      </c>
      <c r="AQ100" s="32"/>
      <c r="AR100" s="32"/>
      <c r="AS100" s="32"/>
      <c r="AT100" s="32"/>
      <c r="AU100" s="32"/>
      <c r="AV100" s="31"/>
      <c r="AW100" s="31"/>
      <c r="AX100" s="53"/>
      <c r="AY100" s="21" t="str">
        <f>IFERROR(VLOOKUP(April[[#This Row],[Drug Name7]],'Data Options'!$R$1:$S$100,2,FALSE), " ")</f>
        <v xml:space="preserve"> </v>
      </c>
      <c r="AZ100" s="32"/>
      <c r="BA100" s="32"/>
      <c r="BB100" s="53"/>
      <c r="BC100" s="21" t="str">
        <f>IFERROR(VLOOKUP(April[[#This Row],[Drug Name8]],'Data Options'!$R$1:$S$100,2,FALSE), " ")</f>
        <v xml:space="preserve"> </v>
      </c>
      <c r="BD100" s="32"/>
      <c r="BE100" s="32"/>
      <c r="BF100" s="53"/>
      <c r="BG100" s="21" t="str">
        <f>IFERROR(VLOOKUP(April[[#This Row],[Drug Name9]],'Data Options'!$R$1:$S$100,2,FALSE), " ")</f>
        <v xml:space="preserve"> </v>
      </c>
      <c r="BH100" s="32"/>
      <c r="BI100" s="32"/>
    </row>
    <row r="101" spans="1:61">
      <c r="A101" s="5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53"/>
      <c r="Q101" s="21" t="str">
        <f>IFERROR(VLOOKUP(April[[#This Row],[Drug Name]],'Data Options'!$R$1:$S$100,2,FALSE), " ")</f>
        <v xml:space="preserve"> </v>
      </c>
      <c r="R101" s="32"/>
      <c r="S101" s="32"/>
      <c r="T101" s="53"/>
      <c r="U101" s="21" t="str">
        <f>IFERROR(VLOOKUP(April[[#This Row],[Drug Name2]],'Data Options'!$R$1:$S$100,2,FALSE), " ")</f>
        <v xml:space="preserve"> </v>
      </c>
      <c r="V101" s="32"/>
      <c r="W101" s="32"/>
      <c r="X101" s="53"/>
      <c r="Y101" s="21" t="str">
        <f>IFERROR(VLOOKUP(April[[#This Row],[Drug Name3]],'Data Options'!$R$1:$S$100,2,FALSE), " ")</f>
        <v xml:space="preserve"> </v>
      </c>
      <c r="Z101" s="32"/>
      <c r="AA101" s="32"/>
      <c r="AB101" s="32"/>
      <c r="AC101" s="32"/>
      <c r="AD101" s="32"/>
      <c r="AE101" s="31"/>
      <c r="AF101" s="31"/>
      <c r="AG101" s="53"/>
      <c r="AH101" s="21" t="str">
        <f>IFERROR(VLOOKUP(April[[#This Row],[Drug Name4]],'Data Options'!$R$1:$S$100,2,FALSE), " ")</f>
        <v xml:space="preserve"> </v>
      </c>
      <c r="AI101" s="32"/>
      <c r="AJ101" s="32"/>
      <c r="AK101" s="53"/>
      <c r="AL101" s="21" t="str">
        <f>IFERROR(VLOOKUP(April[[#This Row],[Drug Name5]],'Data Options'!$R$1:$S$100,2,FALSE), " ")</f>
        <v xml:space="preserve"> </v>
      </c>
      <c r="AM101" s="32"/>
      <c r="AN101" s="32"/>
      <c r="AO101" s="53"/>
      <c r="AP101" s="21" t="str">
        <f>IFERROR(VLOOKUP(April[[#This Row],[Drug Name6]],'Data Options'!$R$1:$S$100,2,FALSE), " ")</f>
        <v xml:space="preserve"> </v>
      </c>
      <c r="AQ101" s="32"/>
      <c r="AR101" s="32"/>
      <c r="AS101" s="32"/>
      <c r="AT101" s="32"/>
      <c r="AU101" s="32"/>
      <c r="AV101" s="31"/>
      <c r="AW101" s="31"/>
      <c r="AX101" s="53"/>
      <c r="AY101" s="21" t="str">
        <f>IFERROR(VLOOKUP(April[[#This Row],[Drug Name7]],'Data Options'!$R$1:$S$100,2,FALSE), " ")</f>
        <v xml:space="preserve"> </v>
      </c>
      <c r="AZ101" s="32"/>
      <c r="BA101" s="32"/>
      <c r="BB101" s="53"/>
      <c r="BC101" s="21" t="str">
        <f>IFERROR(VLOOKUP(April[[#This Row],[Drug Name8]],'Data Options'!$R$1:$S$100,2,FALSE), " ")</f>
        <v xml:space="preserve"> </v>
      </c>
      <c r="BD101" s="32"/>
      <c r="BE101" s="32"/>
      <c r="BF101" s="53"/>
      <c r="BG101" s="21" t="str">
        <f>IFERROR(VLOOKUP(April[[#This Row],[Drug Name9]],'Data Options'!$R$1:$S$100,2,FALSE), " ")</f>
        <v xml:space="preserve"> </v>
      </c>
      <c r="BH101" s="32"/>
      <c r="BI101" s="32"/>
    </row>
    <row r="102" spans="1:61">
      <c r="A102" s="5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53"/>
      <c r="Q102" s="21" t="str">
        <f>IFERROR(VLOOKUP(April[[#This Row],[Drug Name]],'Data Options'!$R$1:$S$100,2,FALSE), " ")</f>
        <v xml:space="preserve"> </v>
      </c>
      <c r="R102" s="32"/>
      <c r="S102" s="32"/>
      <c r="T102" s="53"/>
      <c r="U102" s="21" t="str">
        <f>IFERROR(VLOOKUP(April[[#This Row],[Drug Name2]],'Data Options'!$R$1:$S$100,2,FALSE), " ")</f>
        <v xml:space="preserve"> </v>
      </c>
      <c r="V102" s="32"/>
      <c r="W102" s="32"/>
      <c r="X102" s="53"/>
      <c r="Y102" s="21" t="str">
        <f>IFERROR(VLOOKUP(April[[#This Row],[Drug Name3]],'Data Options'!$R$1:$S$100,2,FALSE), " ")</f>
        <v xml:space="preserve"> </v>
      </c>
      <c r="Z102" s="32"/>
      <c r="AA102" s="32"/>
      <c r="AB102" s="32"/>
      <c r="AC102" s="32"/>
      <c r="AD102" s="32"/>
      <c r="AE102" s="31"/>
      <c r="AF102" s="31"/>
      <c r="AG102" s="53"/>
      <c r="AH102" s="21" t="str">
        <f>IFERROR(VLOOKUP(April[[#This Row],[Drug Name4]],'Data Options'!$R$1:$S$100,2,FALSE), " ")</f>
        <v xml:space="preserve"> </v>
      </c>
      <c r="AI102" s="32"/>
      <c r="AJ102" s="32"/>
      <c r="AK102" s="53"/>
      <c r="AL102" s="21" t="str">
        <f>IFERROR(VLOOKUP(April[[#This Row],[Drug Name5]],'Data Options'!$R$1:$S$100,2,FALSE), " ")</f>
        <v xml:space="preserve"> </v>
      </c>
      <c r="AM102" s="32"/>
      <c r="AN102" s="32"/>
      <c r="AO102" s="53"/>
      <c r="AP102" s="21" t="str">
        <f>IFERROR(VLOOKUP(April[[#This Row],[Drug Name6]],'Data Options'!$R$1:$S$100,2,FALSE), " ")</f>
        <v xml:space="preserve"> </v>
      </c>
      <c r="AQ102" s="32"/>
      <c r="AR102" s="32"/>
      <c r="AS102" s="32"/>
      <c r="AT102" s="32"/>
      <c r="AU102" s="32"/>
      <c r="AV102" s="31"/>
      <c r="AW102" s="31"/>
      <c r="AX102" s="53"/>
      <c r="AY102" s="21" t="str">
        <f>IFERROR(VLOOKUP(April[[#This Row],[Drug Name7]],'Data Options'!$R$1:$S$100,2,FALSE), " ")</f>
        <v xml:space="preserve"> </v>
      </c>
      <c r="AZ102" s="32"/>
      <c r="BA102" s="32"/>
      <c r="BB102" s="53"/>
      <c r="BC102" s="21" t="str">
        <f>IFERROR(VLOOKUP(April[[#This Row],[Drug Name8]],'Data Options'!$R$1:$S$100,2,FALSE), " ")</f>
        <v xml:space="preserve"> </v>
      </c>
      <c r="BD102" s="32"/>
      <c r="BE102" s="32"/>
      <c r="BF102" s="53"/>
      <c r="BG102" s="21" t="str">
        <f>IFERROR(VLOOKUP(April[[#This Row],[Drug Name9]],'Data Options'!$R$1:$S$100,2,FALSE), " ")</f>
        <v xml:space="preserve"> </v>
      </c>
      <c r="BH102" s="32"/>
      <c r="BI102" s="32"/>
    </row>
    <row r="103" spans="1:61">
      <c r="A103" s="5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53"/>
      <c r="Q103" s="21" t="str">
        <f>IFERROR(VLOOKUP(April[[#This Row],[Drug Name]],'Data Options'!$R$1:$S$100,2,FALSE), " ")</f>
        <v xml:space="preserve"> </v>
      </c>
      <c r="R103" s="32"/>
      <c r="S103" s="32"/>
      <c r="T103" s="53"/>
      <c r="U103" s="21" t="str">
        <f>IFERROR(VLOOKUP(April[[#This Row],[Drug Name2]],'Data Options'!$R$1:$S$100,2,FALSE), " ")</f>
        <v xml:space="preserve"> </v>
      </c>
      <c r="V103" s="32"/>
      <c r="W103" s="32"/>
      <c r="X103" s="53"/>
      <c r="Y103" s="21" t="str">
        <f>IFERROR(VLOOKUP(April[[#This Row],[Drug Name3]],'Data Options'!$R$1:$S$100,2,FALSE), " ")</f>
        <v xml:space="preserve"> </v>
      </c>
      <c r="Z103" s="32"/>
      <c r="AA103" s="32"/>
      <c r="AB103" s="32"/>
      <c r="AC103" s="32"/>
      <c r="AD103" s="32"/>
      <c r="AE103" s="31"/>
      <c r="AF103" s="31"/>
      <c r="AG103" s="53"/>
      <c r="AH103" s="21" t="str">
        <f>IFERROR(VLOOKUP(April[[#This Row],[Drug Name4]],'Data Options'!$R$1:$S$100,2,FALSE), " ")</f>
        <v xml:space="preserve"> </v>
      </c>
      <c r="AI103" s="32"/>
      <c r="AJ103" s="32"/>
      <c r="AK103" s="53"/>
      <c r="AL103" s="21" t="str">
        <f>IFERROR(VLOOKUP(April[[#This Row],[Drug Name5]],'Data Options'!$R$1:$S$100,2,FALSE), " ")</f>
        <v xml:space="preserve"> </v>
      </c>
      <c r="AM103" s="32"/>
      <c r="AN103" s="32"/>
      <c r="AO103" s="53"/>
      <c r="AP103" s="21" t="str">
        <f>IFERROR(VLOOKUP(April[[#This Row],[Drug Name6]],'Data Options'!$R$1:$S$100,2,FALSE), " ")</f>
        <v xml:space="preserve"> </v>
      </c>
      <c r="AQ103" s="32"/>
      <c r="AR103" s="32"/>
      <c r="AS103" s="32"/>
      <c r="AT103" s="32"/>
      <c r="AU103" s="32"/>
      <c r="AV103" s="31"/>
      <c r="AW103" s="31"/>
      <c r="AX103" s="53"/>
      <c r="AY103" s="21" t="str">
        <f>IFERROR(VLOOKUP(April[[#This Row],[Drug Name7]],'Data Options'!$R$1:$S$100,2,FALSE), " ")</f>
        <v xml:space="preserve"> </v>
      </c>
      <c r="AZ103" s="32"/>
      <c r="BA103" s="32"/>
      <c r="BB103" s="53"/>
      <c r="BC103" s="21" t="str">
        <f>IFERROR(VLOOKUP(April[[#This Row],[Drug Name8]],'Data Options'!$R$1:$S$100,2,FALSE), " ")</f>
        <v xml:space="preserve"> </v>
      </c>
      <c r="BD103" s="32"/>
      <c r="BE103" s="32"/>
      <c r="BF103" s="53"/>
      <c r="BG103" s="21" t="str">
        <f>IFERROR(VLOOKUP(April[[#This Row],[Drug Name9]],'Data Options'!$R$1:$S$100,2,FALSE), " ")</f>
        <v xml:space="preserve"> </v>
      </c>
      <c r="BH103" s="32"/>
      <c r="BI103" s="32"/>
    </row>
    <row r="104" spans="1:61">
      <c r="A104" s="5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53"/>
      <c r="Q104" s="21" t="str">
        <f>IFERROR(VLOOKUP(April[[#This Row],[Drug Name]],'Data Options'!$R$1:$S$100,2,FALSE), " ")</f>
        <v xml:space="preserve"> </v>
      </c>
      <c r="R104" s="32"/>
      <c r="S104" s="32"/>
      <c r="T104" s="53"/>
      <c r="U104" s="21" t="str">
        <f>IFERROR(VLOOKUP(April[[#This Row],[Drug Name2]],'Data Options'!$R$1:$S$100,2,FALSE), " ")</f>
        <v xml:space="preserve"> </v>
      </c>
      <c r="V104" s="32"/>
      <c r="W104" s="32"/>
      <c r="X104" s="53"/>
      <c r="Y104" s="21" t="str">
        <f>IFERROR(VLOOKUP(April[[#This Row],[Drug Name3]],'Data Options'!$R$1:$S$100,2,FALSE), " ")</f>
        <v xml:space="preserve"> </v>
      </c>
      <c r="Z104" s="32"/>
      <c r="AA104" s="32"/>
      <c r="AB104" s="32"/>
      <c r="AC104" s="32"/>
      <c r="AD104" s="32"/>
      <c r="AE104" s="31"/>
      <c r="AF104" s="31"/>
      <c r="AG104" s="53"/>
      <c r="AH104" s="21" t="str">
        <f>IFERROR(VLOOKUP(April[[#This Row],[Drug Name4]],'Data Options'!$R$1:$S$100,2,FALSE), " ")</f>
        <v xml:space="preserve"> </v>
      </c>
      <c r="AI104" s="32"/>
      <c r="AJ104" s="32"/>
      <c r="AK104" s="53"/>
      <c r="AL104" s="21" t="str">
        <f>IFERROR(VLOOKUP(April[[#This Row],[Drug Name5]],'Data Options'!$R$1:$S$100,2,FALSE), " ")</f>
        <v xml:space="preserve"> </v>
      </c>
      <c r="AM104" s="32"/>
      <c r="AN104" s="32"/>
      <c r="AO104" s="53"/>
      <c r="AP104" s="21" t="str">
        <f>IFERROR(VLOOKUP(April[[#This Row],[Drug Name6]],'Data Options'!$R$1:$S$100,2,FALSE), " ")</f>
        <v xml:space="preserve"> </v>
      </c>
      <c r="AQ104" s="32"/>
      <c r="AR104" s="32"/>
      <c r="AS104" s="32"/>
      <c r="AT104" s="32"/>
      <c r="AU104" s="32"/>
      <c r="AV104" s="31"/>
      <c r="AW104" s="31"/>
      <c r="AX104" s="53"/>
      <c r="AY104" s="21" t="str">
        <f>IFERROR(VLOOKUP(April[[#This Row],[Drug Name7]],'Data Options'!$R$1:$S$100,2,FALSE), " ")</f>
        <v xml:space="preserve"> </v>
      </c>
      <c r="AZ104" s="32"/>
      <c r="BA104" s="32"/>
      <c r="BB104" s="53"/>
      <c r="BC104" s="21" t="str">
        <f>IFERROR(VLOOKUP(April[[#This Row],[Drug Name8]],'Data Options'!$R$1:$S$100,2,FALSE), " ")</f>
        <v xml:space="preserve"> </v>
      </c>
      <c r="BD104" s="32"/>
      <c r="BE104" s="32"/>
      <c r="BF104" s="53"/>
      <c r="BG104" s="21" t="str">
        <f>IFERROR(VLOOKUP(April[[#This Row],[Drug Name9]],'Data Options'!$R$1:$S$100,2,FALSE), " ")</f>
        <v xml:space="preserve"> </v>
      </c>
      <c r="BH104" s="32"/>
      <c r="BI104" s="32"/>
    </row>
    <row r="105" spans="1:61">
      <c r="A105" s="5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53"/>
      <c r="Q105" s="21" t="str">
        <f>IFERROR(VLOOKUP(April[[#This Row],[Drug Name]],'Data Options'!$R$1:$S$100,2,FALSE), " ")</f>
        <v xml:space="preserve"> </v>
      </c>
      <c r="R105" s="32"/>
      <c r="S105" s="32"/>
      <c r="T105" s="53"/>
      <c r="U105" s="21" t="str">
        <f>IFERROR(VLOOKUP(April[[#This Row],[Drug Name2]],'Data Options'!$R$1:$S$100,2,FALSE), " ")</f>
        <v xml:space="preserve"> </v>
      </c>
      <c r="V105" s="32"/>
      <c r="W105" s="32"/>
      <c r="X105" s="53"/>
      <c r="Y105" s="21" t="str">
        <f>IFERROR(VLOOKUP(April[[#This Row],[Drug Name3]],'Data Options'!$R$1:$S$100,2,FALSE), " ")</f>
        <v xml:space="preserve"> </v>
      </c>
      <c r="Z105" s="32"/>
      <c r="AA105" s="32"/>
      <c r="AB105" s="32"/>
      <c r="AC105" s="32"/>
      <c r="AD105" s="32"/>
      <c r="AE105" s="31"/>
      <c r="AF105" s="31"/>
      <c r="AG105" s="53"/>
      <c r="AH105" s="21" t="str">
        <f>IFERROR(VLOOKUP(April[[#This Row],[Drug Name4]],'Data Options'!$R$1:$S$100,2,FALSE), " ")</f>
        <v xml:space="preserve"> </v>
      </c>
      <c r="AI105" s="32"/>
      <c r="AJ105" s="32"/>
      <c r="AK105" s="53"/>
      <c r="AL105" s="21" t="str">
        <f>IFERROR(VLOOKUP(April[[#This Row],[Drug Name5]],'Data Options'!$R$1:$S$100,2,FALSE), " ")</f>
        <v xml:space="preserve"> </v>
      </c>
      <c r="AM105" s="32"/>
      <c r="AN105" s="32"/>
      <c r="AO105" s="53"/>
      <c r="AP105" s="21" t="str">
        <f>IFERROR(VLOOKUP(April[[#This Row],[Drug Name6]],'Data Options'!$R$1:$S$100,2,FALSE), " ")</f>
        <v xml:space="preserve"> </v>
      </c>
      <c r="AQ105" s="32"/>
      <c r="AR105" s="32"/>
      <c r="AS105" s="32"/>
      <c r="AT105" s="32"/>
      <c r="AU105" s="32"/>
      <c r="AV105" s="31"/>
      <c r="AW105" s="31"/>
      <c r="AX105" s="53"/>
      <c r="AY105" s="21" t="str">
        <f>IFERROR(VLOOKUP(April[[#This Row],[Drug Name7]],'Data Options'!$R$1:$S$100,2,FALSE), " ")</f>
        <v xml:space="preserve"> </v>
      </c>
      <c r="AZ105" s="32"/>
      <c r="BA105" s="32"/>
      <c r="BB105" s="53"/>
      <c r="BC105" s="21" t="str">
        <f>IFERROR(VLOOKUP(April[[#This Row],[Drug Name8]],'Data Options'!$R$1:$S$100,2,FALSE), " ")</f>
        <v xml:space="preserve"> </v>
      </c>
      <c r="BD105" s="32"/>
      <c r="BE105" s="32"/>
      <c r="BF105" s="53"/>
      <c r="BG105" s="21" t="str">
        <f>IFERROR(VLOOKUP(April[[#This Row],[Drug Name9]],'Data Options'!$R$1:$S$100,2,FALSE), " ")</f>
        <v xml:space="preserve"> </v>
      </c>
      <c r="BH105" s="32"/>
      <c r="BI105" s="32"/>
    </row>
    <row r="106" spans="1:61">
      <c r="A106" s="5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53"/>
      <c r="Q106" s="21" t="str">
        <f>IFERROR(VLOOKUP(April[[#This Row],[Drug Name]],'Data Options'!$R$1:$S$100,2,FALSE), " ")</f>
        <v xml:space="preserve"> </v>
      </c>
      <c r="R106" s="32"/>
      <c r="S106" s="32"/>
      <c r="T106" s="53"/>
      <c r="U106" s="21" t="str">
        <f>IFERROR(VLOOKUP(April[[#This Row],[Drug Name2]],'Data Options'!$R$1:$S$100,2,FALSE), " ")</f>
        <v xml:space="preserve"> </v>
      </c>
      <c r="V106" s="32"/>
      <c r="W106" s="32"/>
      <c r="X106" s="53"/>
      <c r="Y106" s="21" t="str">
        <f>IFERROR(VLOOKUP(April[[#This Row],[Drug Name3]],'Data Options'!$R$1:$S$100,2,FALSE), " ")</f>
        <v xml:space="preserve"> </v>
      </c>
      <c r="Z106" s="32"/>
      <c r="AA106" s="32"/>
      <c r="AB106" s="32"/>
      <c r="AC106" s="32"/>
      <c r="AD106" s="32"/>
      <c r="AE106" s="31"/>
      <c r="AF106" s="31"/>
      <c r="AG106" s="53"/>
      <c r="AH106" s="21" t="str">
        <f>IFERROR(VLOOKUP(April[[#This Row],[Drug Name4]],'Data Options'!$R$1:$S$100,2,FALSE), " ")</f>
        <v xml:space="preserve"> </v>
      </c>
      <c r="AI106" s="32"/>
      <c r="AJ106" s="32"/>
      <c r="AK106" s="53"/>
      <c r="AL106" s="21" t="str">
        <f>IFERROR(VLOOKUP(April[[#This Row],[Drug Name5]],'Data Options'!$R$1:$S$100,2,FALSE), " ")</f>
        <v xml:space="preserve"> </v>
      </c>
      <c r="AM106" s="32"/>
      <c r="AN106" s="32"/>
      <c r="AO106" s="53"/>
      <c r="AP106" s="21" t="str">
        <f>IFERROR(VLOOKUP(April[[#This Row],[Drug Name6]],'Data Options'!$R$1:$S$100,2,FALSE), " ")</f>
        <v xml:space="preserve"> </v>
      </c>
      <c r="AQ106" s="32"/>
      <c r="AR106" s="32"/>
      <c r="AS106" s="32"/>
      <c r="AT106" s="32"/>
      <c r="AU106" s="32"/>
      <c r="AV106" s="31"/>
      <c r="AW106" s="31"/>
      <c r="AX106" s="53"/>
      <c r="AY106" s="21" t="str">
        <f>IFERROR(VLOOKUP(April[[#This Row],[Drug Name7]],'Data Options'!$R$1:$S$100,2,FALSE), " ")</f>
        <v xml:space="preserve"> </v>
      </c>
      <c r="AZ106" s="32"/>
      <c r="BA106" s="32"/>
      <c r="BB106" s="53"/>
      <c r="BC106" s="21" t="str">
        <f>IFERROR(VLOOKUP(April[[#This Row],[Drug Name8]],'Data Options'!$R$1:$S$100,2,FALSE), " ")</f>
        <v xml:space="preserve"> </v>
      </c>
      <c r="BD106" s="32"/>
      <c r="BE106" s="32"/>
      <c r="BF106" s="53"/>
      <c r="BG106" s="21" t="str">
        <f>IFERROR(VLOOKUP(April[[#This Row],[Drug Name9]],'Data Options'!$R$1:$S$100,2,FALSE), " ")</f>
        <v xml:space="preserve"> </v>
      </c>
      <c r="BH106" s="32"/>
      <c r="BI106" s="32"/>
    </row>
    <row r="107" spans="1:61">
      <c r="A107" s="5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53"/>
      <c r="Q107" s="21" t="str">
        <f>IFERROR(VLOOKUP(April[[#This Row],[Drug Name]],'Data Options'!$R$1:$S$100,2,FALSE), " ")</f>
        <v xml:space="preserve"> </v>
      </c>
      <c r="R107" s="32"/>
      <c r="S107" s="32"/>
      <c r="T107" s="53"/>
      <c r="U107" s="21" t="str">
        <f>IFERROR(VLOOKUP(April[[#This Row],[Drug Name2]],'Data Options'!$R$1:$S$100,2,FALSE), " ")</f>
        <v xml:space="preserve"> </v>
      </c>
      <c r="V107" s="32"/>
      <c r="W107" s="32"/>
      <c r="X107" s="53"/>
      <c r="Y107" s="21" t="str">
        <f>IFERROR(VLOOKUP(April[[#This Row],[Drug Name3]],'Data Options'!$R$1:$S$100,2,FALSE), " ")</f>
        <v xml:space="preserve"> </v>
      </c>
      <c r="Z107" s="32"/>
      <c r="AA107" s="32"/>
      <c r="AB107" s="32"/>
      <c r="AC107" s="32"/>
      <c r="AD107" s="32"/>
      <c r="AE107" s="31"/>
      <c r="AF107" s="31"/>
      <c r="AG107" s="53"/>
      <c r="AH107" s="21" t="str">
        <f>IFERROR(VLOOKUP(April[[#This Row],[Drug Name4]],'Data Options'!$R$1:$S$100,2,FALSE), " ")</f>
        <v xml:space="preserve"> </v>
      </c>
      <c r="AI107" s="32"/>
      <c r="AJ107" s="32"/>
      <c r="AK107" s="53"/>
      <c r="AL107" s="21" t="str">
        <f>IFERROR(VLOOKUP(April[[#This Row],[Drug Name5]],'Data Options'!$R$1:$S$100,2,FALSE), " ")</f>
        <v xml:space="preserve"> </v>
      </c>
      <c r="AM107" s="32"/>
      <c r="AN107" s="32"/>
      <c r="AO107" s="53"/>
      <c r="AP107" s="21" t="str">
        <f>IFERROR(VLOOKUP(April[[#This Row],[Drug Name6]],'Data Options'!$R$1:$S$100,2,FALSE), " ")</f>
        <v xml:space="preserve"> </v>
      </c>
      <c r="AQ107" s="32"/>
      <c r="AR107" s="32"/>
      <c r="AS107" s="32"/>
      <c r="AT107" s="32"/>
      <c r="AU107" s="32"/>
      <c r="AV107" s="31"/>
      <c r="AW107" s="31"/>
      <c r="AX107" s="53"/>
      <c r="AY107" s="21" t="str">
        <f>IFERROR(VLOOKUP(April[[#This Row],[Drug Name7]],'Data Options'!$R$1:$S$100,2,FALSE), " ")</f>
        <v xml:space="preserve"> </v>
      </c>
      <c r="AZ107" s="32"/>
      <c r="BA107" s="32"/>
      <c r="BB107" s="53"/>
      <c r="BC107" s="21" t="str">
        <f>IFERROR(VLOOKUP(April[[#This Row],[Drug Name8]],'Data Options'!$R$1:$S$100,2,FALSE), " ")</f>
        <v xml:space="preserve"> </v>
      </c>
      <c r="BD107" s="32"/>
      <c r="BE107" s="32"/>
      <c r="BF107" s="53"/>
      <c r="BG107" s="21" t="str">
        <f>IFERROR(VLOOKUP(April[[#This Row],[Drug Name9]],'Data Options'!$R$1:$S$100,2,FALSE), " ")</f>
        <v xml:space="preserve"> </v>
      </c>
      <c r="BH107" s="32"/>
      <c r="BI107" s="32"/>
    </row>
    <row r="108" spans="1:61">
      <c r="A108" s="5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53"/>
      <c r="Q108" s="21" t="str">
        <f>IFERROR(VLOOKUP(April[[#This Row],[Drug Name]],'Data Options'!$R$1:$S$100,2,FALSE), " ")</f>
        <v xml:space="preserve"> </v>
      </c>
      <c r="R108" s="32"/>
      <c r="S108" s="32"/>
      <c r="T108" s="53"/>
      <c r="U108" s="21" t="str">
        <f>IFERROR(VLOOKUP(April[[#This Row],[Drug Name2]],'Data Options'!$R$1:$S$100,2,FALSE), " ")</f>
        <v xml:space="preserve"> </v>
      </c>
      <c r="V108" s="32"/>
      <c r="W108" s="32"/>
      <c r="X108" s="53"/>
      <c r="Y108" s="21" t="str">
        <f>IFERROR(VLOOKUP(April[[#This Row],[Drug Name3]],'Data Options'!$R$1:$S$100,2,FALSE), " ")</f>
        <v xml:space="preserve"> </v>
      </c>
      <c r="Z108" s="32"/>
      <c r="AA108" s="32"/>
      <c r="AB108" s="32"/>
      <c r="AC108" s="32"/>
      <c r="AD108" s="32"/>
      <c r="AE108" s="31"/>
      <c r="AF108" s="31"/>
      <c r="AG108" s="53"/>
      <c r="AH108" s="21" t="str">
        <f>IFERROR(VLOOKUP(April[[#This Row],[Drug Name4]],'Data Options'!$R$1:$S$100,2,FALSE), " ")</f>
        <v xml:space="preserve"> </v>
      </c>
      <c r="AI108" s="32"/>
      <c r="AJ108" s="32"/>
      <c r="AK108" s="53"/>
      <c r="AL108" s="21" t="str">
        <f>IFERROR(VLOOKUP(April[[#This Row],[Drug Name5]],'Data Options'!$R$1:$S$100,2,FALSE), " ")</f>
        <v xml:space="preserve"> </v>
      </c>
      <c r="AM108" s="32"/>
      <c r="AN108" s="32"/>
      <c r="AO108" s="53"/>
      <c r="AP108" s="21" t="str">
        <f>IFERROR(VLOOKUP(April[[#This Row],[Drug Name6]],'Data Options'!$R$1:$S$100,2,FALSE), " ")</f>
        <v xml:space="preserve"> </v>
      </c>
      <c r="AQ108" s="32"/>
      <c r="AR108" s="32"/>
      <c r="AS108" s="32"/>
      <c r="AT108" s="32"/>
      <c r="AU108" s="32"/>
      <c r="AV108" s="31"/>
      <c r="AW108" s="31"/>
      <c r="AX108" s="53"/>
      <c r="AY108" s="21" t="str">
        <f>IFERROR(VLOOKUP(April[[#This Row],[Drug Name7]],'Data Options'!$R$1:$S$100,2,FALSE), " ")</f>
        <v xml:space="preserve"> </v>
      </c>
      <c r="AZ108" s="32"/>
      <c r="BA108" s="32"/>
      <c r="BB108" s="53"/>
      <c r="BC108" s="21" t="str">
        <f>IFERROR(VLOOKUP(April[[#This Row],[Drug Name8]],'Data Options'!$R$1:$S$100,2,FALSE), " ")</f>
        <v xml:space="preserve"> </v>
      </c>
      <c r="BD108" s="32"/>
      <c r="BE108" s="32"/>
      <c r="BF108" s="53"/>
      <c r="BG108" s="21" t="str">
        <f>IFERROR(VLOOKUP(April[[#This Row],[Drug Name9]],'Data Options'!$R$1:$S$100,2,FALSE), " ")</f>
        <v xml:space="preserve"> </v>
      </c>
      <c r="BH108" s="32"/>
      <c r="BI108" s="32"/>
    </row>
    <row r="109" spans="1:61">
      <c r="A109" s="5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53"/>
      <c r="Q109" s="21" t="str">
        <f>IFERROR(VLOOKUP(April[[#This Row],[Drug Name]],'Data Options'!$R$1:$S$100,2,FALSE), " ")</f>
        <v xml:space="preserve"> </v>
      </c>
      <c r="R109" s="32"/>
      <c r="S109" s="32"/>
      <c r="T109" s="53"/>
      <c r="U109" s="21" t="str">
        <f>IFERROR(VLOOKUP(April[[#This Row],[Drug Name2]],'Data Options'!$R$1:$S$100,2,FALSE), " ")</f>
        <v xml:space="preserve"> </v>
      </c>
      <c r="V109" s="32"/>
      <c r="W109" s="32"/>
      <c r="X109" s="53"/>
      <c r="Y109" s="21" t="str">
        <f>IFERROR(VLOOKUP(April[[#This Row],[Drug Name3]],'Data Options'!$R$1:$S$100,2,FALSE), " ")</f>
        <v xml:space="preserve"> </v>
      </c>
      <c r="Z109" s="32"/>
      <c r="AA109" s="32"/>
      <c r="AB109" s="32"/>
      <c r="AC109" s="32"/>
      <c r="AD109" s="32"/>
      <c r="AE109" s="31"/>
      <c r="AF109" s="31"/>
      <c r="AG109" s="53"/>
      <c r="AH109" s="21" t="str">
        <f>IFERROR(VLOOKUP(April[[#This Row],[Drug Name4]],'Data Options'!$R$1:$S$100,2,FALSE), " ")</f>
        <v xml:space="preserve"> </v>
      </c>
      <c r="AI109" s="32"/>
      <c r="AJ109" s="32"/>
      <c r="AK109" s="53"/>
      <c r="AL109" s="21" t="str">
        <f>IFERROR(VLOOKUP(April[[#This Row],[Drug Name5]],'Data Options'!$R$1:$S$100,2,FALSE), " ")</f>
        <v xml:space="preserve"> </v>
      </c>
      <c r="AM109" s="32"/>
      <c r="AN109" s="32"/>
      <c r="AO109" s="53"/>
      <c r="AP109" s="21" t="str">
        <f>IFERROR(VLOOKUP(April[[#This Row],[Drug Name6]],'Data Options'!$R$1:$S$100,2,FALSE), " ")</f>
        <v xml:space="preserve"> </v>
      </c>
      <c r="AQ109" s="32"/>
      <c r="AR109" s="32"/>
      <c r="AS109" s="32"/>
      <c r="AT109" s="32"/>
      <c r="AU109" s="32"/>
      <c r="AV109" s="31"/>
      <c r="AW109" s="31"/>
      <c r="AX109" s="53"/>
      <c r="AY109" s="21" t="str">
        <f>IFERROR(VLOOKUP(April[[#This Row],[Drug Name7]],'Data Options'!$R$1:$S$100,2,FALSE), " ")</f>
        <v xml:space="preserve"> </v>
      </c>
      <c r="AZ109" s="32"/>
      <c r="BA109" s="32"/>
      <c r="BB109" s="53"/>
      <c r="BC109" s="21" t="str">
        <f>IFERROR(VLOOKUP(April[[#This Row],[Drug Name8]],'Data Options'!$R$1:$S$100,2,FALSE), " ")</f>
        <v xml:space="preserve"> </v>
      </c>
      <c r="BD109" s="32"/>
      <c r="BE109" s="32"/>
      <c r="BF109" s="53"/>
      <c r="BG109" s="21" t="str">
        <f>IFERROR(VLOOKUP(April[[#This Row],[Drug Name9]],'Data Options'!$R$1:$S$100,2,FALSE), " ")</f>
        <v xml:space="preserve"> </v>
      </c>
      <c r="BH109" s="32"/>
      <c r="BI109" s="32"/>
    </row>
    <row r="110" spans="1:61">
      <c r="A110" s="5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53"/>
      <c r="Q110" s="21" t="str">
        <f>IFERROR(VLOOKUP(April[[#This Row],[Drug Name]],'Data Options'!$R$1:$S$100,2,FALSE), " ")</f>
        <v xml:space="preserve"> </v>
      </c>
      <c r="R110" s="32"/>
      <c r="S110" s="32"/>
      <c r="T110" s="53"/>
      <c r="U110" s="21" t="str">
        <f>IFERROR(VLOOKUP(April[[#This Row],[Drug Name2]],'Data Options'!$R$1:$S$100,2,FALSE), " ")</f>
        <v xml:space="preserve"> </v>
      </c>
      <c r="V110" s="32"/>
      <c r="W110" s="32"/>
      <c r="X110" s="53"/>
      <c r="Y110" s="21" t="str">
        <f>IFERROR(VLOOKUP(April[[#This Row],[Drug Name3]],'Data Options'!$R$1:$S$100,2,FALSE), " ")</f>
        <v xml:space="preserve"> </v>
      </c>
      <c r="Z110" s="32"/>
      <c r="AA110" s="32"/>
      <c r="AB110" s="32"/>
      <c r="AC110" s="32"/>
      <c r="AD110" s="32"/>
      <c r="AE110" s="31"/>
      <c r="AF110" s="31"/>
      <c r="AG110" s="53"/>
      <c r="AH110" s="21" t="str">
        <f>IFERROR(VLOOKUP(April[[#This Row],[Drug Name4]],'Data Options'!$R$1:$S$100,2,FALSE), " ")</f>
        <v xml:space="preserve"> </v>
      </c>
      <c r="AI110" s="32"/>
      <c r="AJ110" s="32"/>
      <c r="AK110" s="53"/>
      <c r="AL110" s="21" t="str">
        <f>IFERROR(VLOOKUP(April[[#This Row],[Drug Name5]],'Data Options'!$R$1:$S$100,2,FALSE), " ")</f>
        <v xml:space="preserve"> </v>
      </c>
      <c r="AM110" s="32"/>
      <c r="AN110" s="32"/>
      <c r="AO110" s="53"/>
      <c r="AP110" s="21" t="str">
        <f>IFERROR(VLOOKUP(April[[#This Row],[Drug Name6]],'Data Options'!$R$1:$S$100,2,FALSE), " ")</f>
        <v xml:space="preserve"> </v>
      </c>
      <c r="AQ110" s="32"/>
      <c r="AR110" s="32"/>
      <c r="AS110" s="32"/>
      <c r="AT110" s="32"/>
      <c r="AU110" s="32"/>
      <c r="AV110" s="31"/>
      <c r="AW110" s="31"/>
      <c r="AX110" s="53"/>
      <c r="AY110" s="21" t="str">
        <f>IFERROR(VLOOKUP(April[[#This Row],[Drug Name7]],'Data Options'!$R$1:$S$100,2,FALSE), " ")</f>
        <v xml:space="preserve"> </v>
      </c>
      <c r="AZ110" s="32"/>
      <c r="BA110" s="32"/>
      <c r="BB110" s="53"/>
      <c r="BC110" s="21" t="str">
        <f>IFERROR(VLOOKUP(April[[#This Row],[Drug Name8]],'Data Options'!$R$1:$S$100,2,FALSE), " ")</f>
        <v xml:space="preserve"> </v>
      </c>
      <c r="BD110" s="32"/>
      <c r="BE110" s="32"/>
      <c r="BF110" s="53"/>
      <c r="BG110" s="21" t="str">
        <f>IFERROR(VLOOKUP(April[[#This Row],[Drug Name9]],'Data Options'!$R$1:$S$100,2,FALSE), " ")</f>
        <v xml:space="preserve"> </v>
      </c>
      <c r="BH110" s="32"/>
      <c r="BI110" s="32"/>
    </row>
    <row r="111" spans="1:61">
      <c r="A111" s="5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53"/>
      <c r="Q111" s="21" t="str">
        <f>IFERROR(VLOOKUP(April[[#This Row],[Drug Name]],'Data Options'!$R$1:$S$100,2,FALSE), " ")</f>
        <v xml:space="preserve"> </v>
      </c>
      <c r="R111" s="32"/>
      <c r="S111" s="32"/>
      <c r="T111" s="53"/>
      <c r="U111" s="21" t="str">
        <f>IFERROR(VLOOKUP(April[[#This Row],[Drug Name2]],'Data Options'!$R$1:$S$100,2,FALSE), " ")</f>
        <v xml:space="preserve"> </v>
      </c>
      <c r="V111" s="32"/>
      <c r="W111" s="32"/>
      <c r="X111" s="53"/>
      <c r="Y111" s="21" t="str">
        <f>IFERROR(VLOOKUP(April[[#This Row],[Drug Name3]],'Data Options'!$R$1:$S$100,2,FALSE), " ")</f>
        <v xml:space="preserve"> </v>
      </c>
      <c r="Z111" s="32"/>
      <c r="AA111" s="32"/>
      <c r="AB111" s="32"/>
      <c r="AC111" s="32"/>
      <c r="AD111" s="32"/>
      <c r="AE111" s="31"/>
      <c r="AF111" s="31"/>
      <c r="AG111" s="53"/>
      <c r="AH111" s="21" t="str">
        <f>IFERROR(VLOOKUP(April[[#This Row],[Drug Name4]],'Data Options'!$R$1:$S$100,2,FALSE), " ")</f>
        <v xml:space="preserve"> </v>
      </c>
      <c r="AI111" s="32"/>
      <c r="AJ111" s="32"/>
      <c r="AK111" s="53"/>
      <c r="AL111" s="21" t="str">
        <f>IFERROR(VLOOKUP(April[[#This Row],[Drug Name5]],'Data Options'!$R$1:$S$100,2,FALSE), " ")</f>
        <v xml:space="preserve"> </v>
      </c>
      <c r="AM111" s="32"/>
      <c r="AN111" s="32"/>
      <c r="AO111" s="53"/>
      <c r="AP111" s="21" t="str">
        <f>IFERROR(VLOOKUP(April[[#This Row],[Drug Name6]],'Data Options'!$R$1:$S$100,2,FALSE), " ")</f>
        <v xml:space="preserve"> </v>
      </c>
      <c r="AQ111" s="32"/>
      <c r="AR111" s="32"/>
      <c r="AS111" s="32"/>
      <c r="AT111" s="32"/>
      <c r="AU111" s="32"/>
      <c r="AV111" s="31"/>
      <c r="AW111" s="31"/>
      <c r="AX111" s="53"/>
      <c r="AY111" s="21" t="str">
        <f>IFERROR(VLOOKUP(April[[#This Row],[Drug Name7]],'Data Options'!$R$1:$S$100,2,FALSE), " ")</f>
        <v xml:space="preserve"> </v>
      </c>
      <c r="AZ111" s="32"/>
      <c r="BA111" s="32"/>
      <c r="BB111" s="53"/>
      <c r="BC111" s="21" t="str">
        <f>IFERROR(VLOOKUP(April[[#This Row],[Drug Name8]],'Data Options'!$R$1:$S$100,2,FALSE), " ")</f>
        <v xml:space="preserve"> </v>
      </c>
      <c r="BD111" s="32"/>
      <c r="BE111" s="32"/>
      <c r="BF111" s="53"/>
      <c r="BG111" s="21" t="str">
        <f>IFERROR(VLOOKUP(April[[#This Row],[Drug Name9]],'Data Options'!$R$1:$S$100,2,FALSE), " ")</f>
        <v xml:space="preserve"> </v>
      </c>
      <c r="BH111" s="32"/>
      <c r="BI111" s="32"/>
    </row>
    <row r="112" spans="1:61">
      <c r="A112" s="5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53"/>
      <c r="Q112" s="21" t="str">
        <f>IFERROR(VLOOKUP(April[[#This Row],[Drug Name]],'Data Options'!$R$1:$S$100,2,FALSE), " ")</f>
        <v xml:space="preserve"> </v>
      </c>
      <c r="R112" s="32"/>
      <c r="S112" s="32"/>
      <c r="T112" s="53"/>
      <c r="U112" s="21" t="str">
        <f>IFERROR(VLOOKUP(April[[#This Row],[Drug Name2]],'Data Options'!$R$1:$S$100,2,FALSE), " ")</f>
        <v xml:space="preserve"> </v>
      </c>
      <c r="V112" s="32"/>
      <c r="W112" s="32"/>
      <c r="X112" s="53"/>
      <c r="Y112" s="21" t="str">
        <f>IFERROR(VLOOKUP(April[[#This Row],[Drug Name3]],'Data Options'!$R$1:$S$100,2,FALSE), " ")</f>
        <v xml:space="preserve"> </v>
      </c>
      <c r="Z112" s="32"/>
      <c r="AA112" s="32"/>
      <c r="AB112" s="32"/>
      <c r="AC112" s="32"/>
      <c r="AD112" s="32"/>
      <c r="AE112" s="31"/>
      <c r="AF112" s="31"/>
      <c r="AG112" s="53"/>
      <c r="AH112" s="21" t="str">
        <f>IFERROR(VLOOKUP(April[[#This Row],[Drug Name4]],'Data Options'!$R$1:$S$100,2,FALSE), " ")</f>
        <v xml:space="preserve"> </v>
      </c>
      <c r="AI112" s="32"/>
      <c r="AJ112" s="32"/>
      <c r="AK112" s="53"/>
      <c r="AL112" s="21" t="str">
        <f>IFERROR(VLOOKUP(April[[#This Row],[Drug Name5]],'Data Options'!$R$1:$S$100,2,FALSE), " ")</f>
        <v xml:space="preserve"> </v>
      </c>
      <c r="AM112" s="32"/>
      <c r="AN112" s="32"/>
      <c r="AO112" s="53"/>
      <c r="AP112" s="21" t="str">
        <f>IFERROR(VLOOKUP(April[[#This Row],[Drug Name6]],'Data Options'!$R$1:$S$100,2,FALSE), " ")</f>
        <v xml:space="preserve"> </v>
      </c>
      <c r="AQ112" s="32"/>
      <c r="AR112" s="32"/>
      <c r="AS112" s="32"/>
      <c r="AT112" s="32"/>
      <c r="AU112" s="32"/>
      <c r="AV112" s="31"/>
      <c r="AW112" s="31"/>
      <c r="AX112" s="53"/>
      <c r="AY112" s="21" t="str">
        <f>IFERROR(VLOOKUP(April[[#This Row],[Drug Name7]],'Data Options'!$R$1:$S$100,2,FALSE), " ")</f>
        <v xml:space="preserve"> </v>
      </c>
      <c r="AZ112" s="32"/>
      <c r="BA112" s="32"/>
      <c r="BB112" s="53"/>
      <c r="BC112" s="21" t="str">
        <f>IFERROR(VLOOKUP(April[[#This Row],[Drug Name8]],'Data Options'!$R$1:$S$100,2,FALSE), " ")</f>
        <v xml:space="preserve"> </v>
      </c>
      <c r="BD112" s="32"/>
      <c r="BE112" s="32"/>
      <c r="BF112" s="53"/>
      <c r="BG112" s="21" t="str">
        <f>IFERROR(VLOOKUP(April[[#This Row],[Drug Name9]],'Data Options'!$R$1:$S$100,2,FALSE), " ")</f>
        <v xml:space="preserve"> </v>
      </c>
      <c r="BH112" s="32"/>
      <c r="BI112" s="32"/>
    </row>
    <row r="113" spans="1:61">
      <c r="A113" s="5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53"/>
      <c r="Q113" s="21" t="str">
        <f>IFERROR(VLOOKUP(April[[#This Row],[Drug Name]],'Data Options'!$R$1:$S$100,2,FALSE), " ")</f>
        <v xml:space="preserve"> </v>
      </c>
      <c r="R113" s="32"/>
      <c r="S113" s="32"/>
      <c r="T113" s="53"/>
      <c r="U113" s="21" t="str">
        <f>IFERROR(VLOOKUP(April[[#This Row],[Drug Name2]],'Data Options'!$R$1:$S$100,2,FALSE), " ")</f>
        <v xml:space="preserve"> </v>
      </c>
      <c r="V113" s="32"/>
      <c r="W113" s="32"/>
      <c r="X113" s="53"/>
      <c r="Y113" s="21" t="str">
        <f>IFERROR(VLOOKUP(April[[#This Row],[Drug Name3]],'Data Options'!$R$1:$S$100,2,FALSE), " ")</f>
        <v xml:space="preserve"> </v>
      </c>
      <c r="Z113" s="32"/>
      <c r="AA113" s="32"/>
      <c r="AB113" s="32"/>
      <c r="AC113" s="32"/>
      <c r="AD113" s="32"/>
      <c r="AE113" s="31"/>
      <c r="AF113" s="31"/>
      <c r="AG113" s="53"/>
      <c r="AH113" s="21" t="str">
        <f>IFERROR(VLOOKUP(April[[#This Row],[Drug Name4]],'Data Options'!$R$1:$S$100,2,FALSE), " ")</f>
        <v xml:space="preserve"> </v>
      </c>
      <c r="AI113" s="32"/>
      <c r="AJ113" s="32"/>
      <c r="AK113" s="53"/>
      <c r="AL113" s="21" t="str">
        <f>IFERROR(VLOOKUP(April[[#This Row],[Drug Name5]],'Data Options'!$R$1:$S$100,2,FALSE), " ")</f>
        <v xml:space="preserve"> </v>
      </c>
      <c r="AM113" s="32"/>
      <c r="AN113" s="32"/>
      <c r="AO113" s="53"/>
      <c r="AP113" s="21" t="str">
        <f>IFERROR(VLOOKUP(April[[#This Row],[Drug Name6]],'Data Options'!$R$1:$S$100,2,FALSE), " ")</f>
        <v xml:space="preserve"> </v>
      </c>
      <c r="AQ113" s="32"/>
      <c r="AR113" s="32"/>
      <c r="AS113" s="32"/>
      <c r="AT113" s="32"/>
      <c r="AU113" s="32"/>
      <c r="AV113" s="31"/>
      <c r="AW113" s="31"/>
      <c r="AX113" s="53"/>
      <c r="AY113" s="21" t="str">
        <f>IFERROR(VLOOKUP(April[[#This Row],[Drug Name7]],'Data Options'!$R$1:$S$100,2,FALSE), " ")</f>
        <v xml:space="preserve"> </v>
      </c>
      <c r="AZ113" s="32"/>
      <c r="BA113" s="32"/>
      <c r="BB113" s="53"/>
      <c r="BC113" s="21" t="str">
        <f>IFERROR(VLOOKUP(April[[#This Row],[Drug Name8]],'Data Options'!$R$1:$S$100,2,FALSE), " ")</f>
        <v xml:space="preserve"> </v>
      </c>
      <c r="BD113" s="32"/>
      <c r="BE113" s="32"/>
      <c r="BF113" s="53"/>
      <c r="BG113" s="21" t="str">
        <f>IFERROR(VLOOKUP(April[[#This Row],[Drug Name9]],'Data Options'!$R$1:$S$100,2,FALSE), " ")</f>
        <v xml:space="preserve"> </v>
      </c>
      <c r="BH113" s="32"/>
      <c r="BI113" s="32"/>
    </row>
    <row r="114" spans="1:61">
      <c r="A114" s="5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53"/>
      <c r="Q114" s="21" t="str">
        <f>IFERROR(VLOOKUP(April[[#This Row],[Drug Name]],'Data Options'!$R$1:$S$100,2,FALSE), " ")</f>
        <v xml:space="preserve"> </v>
      </c>
      <c r="R114" s="32"/>
      <c r="S114" s="32"/>
      <c r="T114" s="53"/>
      <c r="U114" s="21" t="str">
        <f>IFERROR(VLOOKUP(April[[#This Row],[Drug Name2]],'Data Options'!$R$1:$S$100,2,FALSE), " ")</f>
        <v xml:space="preserve"> </v>
      </c>
      <c r="V114" s="32"/>
      <c r="W114" s="32"/>
      <c r="X114" s="53"/>
      <c r="Y114" s="21" t="str">
        <f>IFERROR(VLOOKUP(April[[#This Row],[Drug Name3]],'Data Options'!$R$1:$S$100,2,FALSE), " ")</f>
        <v xml:space="preserve"> </v>
      </c>
      <c r="Z114" s="32"/>
      <c r="AA114" s="32"/>
      <c r="AB114" s="32"/>
      <c r="AC114" s="32"/>
      <c r="AD114" s="32"/>
      <c r="AE114" s="31"/>
      <c r="AF114" s="31"/>
      <c r="AG114" s="53"/>
      <c r="AH114" s="21" t="str">
        <f>IFERROR(VLOOKUP(April[[#This Row],[Drug Name4]],'Data Options'!$R$1:$S$100,2,FALSE), " ")</f>
        <v xml:space="preserve"> </v>
      </c>
      <c r="AI114" s="32"/>
      <c r="AJ114" s="32"/>
      <c r="AK114" s="53"/>
      <c r="AL114" s="21" t="str">
        <f>IFERROR(VLOOKUP(April[[#This Row],[Drug Name5]],'Data Options'!$R$1:$S$100,2,FALSE), " ")</f>
        <v xml:space="preserve"> </v>
      </c>
      <c r="AM114" s="32"/>
      <c r="AN114" s="32"/>
      <c r="AO114" s="53"/>
      <c r="AP114" s="21" t="str">
        <f>IFERROR(VLOOKUP(April[[#This Row],[Drug Name6]],'Data Options'!$R$1:$S$100,2,FALSE), " ")</f>
        <v xml:space="preserve"> </v>
      </c>
      <c r="AQ114" s="32"/>
      <c r="AR114" s="32"/>
      <c r="AS114" s="32"/>
      <c r="AT114" s="32"/>
      <c r="AU114" s="32"/>
      <c r="AV114" s="31"/>
      <c r="AW114" s="31"/>
      <c r="AX114" s="53"/>
      <c r="AY114" s="21" t="str">
        <f>IFERROR(VLOOKUP(April[[#This Row],[Drug Name7]],'Data Options'!$R$1:$S$100,2,FALSE), " ")</f>
        <v xml:space="preserve"> </v>
      </c>
      <c r="AZ114" s="32"/>
      <c r="BA114" s="32"/>
      <c r="BB114" s="53"/>
      <c r="BC114" s="21" t="str">
        <f>IFERROR(VLOOKUP(April[[#This Row],[Drug Name8]],'Data Options'!$R$1:$S$100,2,FALSE), " ")</f>
        <v xml:space="preserve"> </v>
      </c>
      <c r="BD114" s="32"/>
      <c r="BE114" s="32"/>
      <c r="BF114" s="53"/>
      <c r="BG114" s="21" t="str">
        <f>IFERROR(VLOOKUP(April[[#This Row],[Drug Name9]],'Data Options'!$R$1:$S$100,2,FALSE), " ")</f>
        <v xml:space="preserve"> </v>
      </c>
      <c r="BH114" s="32"/>
      <c r="BI114" s="32"/>
    </row>
    <row r="115" spans="1:61">
      <c r="A115" s="5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53"/>
      <c r="Q115" s="21" t="str">
        <f>IFERROR(VLOOKUP(April[[#This Row],[Drug Name]],'Data Options'!$R$1:$S$100,2,FALSE), " ")</f>
        <v xml:space="preserve"> </v>
      </c>
      <c r="R115" s="32"/>
      <c r="S115" s="32"/>
      <c r="T115" s="53"/>
      <c r="U115" s="21" t="str">
        <f>IFERROR(VLOOKUP(April[[#This Row],[Drug Name2]],'Data Options'!$R$1:$S$100,2,FALSE), " ")</f>
        <v xml:space="preserve"> </v>
      </c>
      <c r="V115" s="32"/>
      <c r="W115" s="32"/>
      <c r="X115" s="53"/>
      <c r="Y115" s="21" t="str">
        <f>IFERROR(VLOOKUP(April[[#This Row],[Drug Name3]],'Data Options'!$R$1:$S$100,2,FALSE), " ")</f>
        <v xml:space="preserve"> </v>
      </c>
      <c r="Z115" s="32"/>
      <c r="AA115" s="32"/>
      <c r="AB115" s="32"/>
      <c r="AC115" s="32"/>
      <c r="AD115" s="32"/>
      <c r="AE115" s="31"/>
      <c r="AF115" s="31"/>
      <c r="AG115" s="53"/>
      <c r="AH115" s="21" t="str">
        <f>IFERROR(VLOOKUP(April[[#This Row],[Drug Name4]],'Data Options'!$R$1:$S$100,2,FALSE), " ")</f>
        <v xml:space="preserve"> </v>
      </c>
      <c r="AI115" s="32"/>
      <c r="AJ115" s="32"/>
      <c r="AK115" s="53"/>
      <c r="AL115" s="21" t="str">
        <f>IFERROR(VLOOKUP(April[[#This Row],[Drug Name5]],'Data Options'!$R$1:$S$100,2,FALSE), " ")</f>
        <v xml:space="preserve"> </v>
      </c>
      <c r="AM115" s="32"/>
      <c r="AN115" s="32"/>
      <c r="AO115" s="53"/>
      <c r="AP115" s="21" t="str">
        <f>IFERROR(VLOOKUP(April[[#This Row],[Drug Name6]],'Data Options'!$R$1:$S$100,2,FALSE), " ")</f>
        <v xml:space="preserve"> </v>
      </c>
      <c r="AQ115" s="32"/>
      <c r="AR115" s="32"/>
      <c r="AS115" s="32"/>
      <c r="AT115" s="32"/>
      <c r="AU115" s="32"/>
      <c r="AV115" s="31"/>
      <c r="AW115" s="31"/>
      <c r="AX115" s="53"/>
      <c r="AY115" s="21" t="str">
        <f>IFERROR(VLOOKUP(April[[#This Row],[Drug Name7]],'Data Options'!$R$1:$S$100,2,FALSE), " ")</f>
        <v xml:space="preserve"> </v>
      </c>
      <c r="AZ115" s="32"/>
      <c r="BA115" s="32"/>
      <c r="BB115" s="53"/>
      <c r="BC115" s="21" t="str">
        <f>IFERROR(VLOOKUP(April[[#This Row],[Drug Name8]],'Data Options'!$R$1:$S$100,2,FALSE), " ")</f>
        <v xml:space="preserve"> </v>
      </c>
      <c r="BD115" s="32"/>
      <c r="BE115" s="32"/>
      <c r="BF115" s="53"/>
      <c r="BG115" s="21" t="str">
        <f>IFERROR(VLOOKUP(April[[#This Row],[Drug Name9]],'Data Options'!$R$1:$S$100,2,FALSE), " ")</f>
        <v xml:space="preserve"> </v>
      </c>
      <c r="BH115" s="32"/>
      <c r="BI115" s="32"/>
    </row>
    <row r="116" spans="1:61">
      <c r="A116" s="5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53"/>
      <c r="Q116" s="21" t="str">
        <f>IFERROR(VLOOKUP(April[[#This Row],[Drug Name]],'Data Options'!$R$1:$S$100,2,FALSE), " ")</f>
        <v xml:space="preserve"> </v>
      </c>
      <c r="R116" s="32"/>
      <c r="S116" s="32"/>
      <c r="T116" s="53"/>
      <c r="U116" s="21" t="str">
        <f>IFERROR(VLOOKUP(April[[#This Row],[Drug Name2]],'Data Options'!$R$1:$S$100,2,FALSE), " ")</f>
        <v xml:space="preserve"> </v>
      </c>
      <c r="V116" s="32"/>
      <c r="W116" s="32"/>
      <c r="X116" s="53"/>
      <c r="Y116" s="21" t="str">
        <f>IFERROR(VLOOKUP(April[[#This Row],[Drug Name3]],'Data Options'!$R$1:$S$100,2,FALSE), " ")</f>
        <v xml:space="preserve"> </v>
      </c>
      <c r="Z116" s="32"/>
      <c r="AA116" s="32"/>
      <c r="AB116" s="32"/>
      <c r="AC116" s="32"/>
      <c r="AD116" s="32"/>
      <c r="AE116" s="31"/>
      <c r="AF116" s="31"/>
      <c r="AG116" s="53"/>
      <c r="AH116" s="21" t="str">
        <f>IFERROR(VLOOKUP(April[[#This Row],[Drug Name4]],'Data Options'!$R$1:$S$100,2,FALSE), " ")</f>
        <v xml:space="preserve"> </v>
      </c>
      <c r="AI116" s="32"/>
      <c r="AJ116" s="32"/>
      <c r="AK116" s="53"/>
      <c r="AL116" s="21" t="str">
        <f>IFERROR(VLOOKUP(April[[#This Row],[Drug Name5]],'Data Options'!$R$1:$S$100,2,FALSE), " ")</f>
        <v xml:space="preserve"> </v>
      </c>
      <c r="AM116" s="32"/>
      <c r="AN116" s="32"/>
      <c r="AO116" s="53"/>
      <c r="AP116" s="21" t="str">
        <f>IFERROR(VLOOKUP(April[[#This Row],[Drug Name6]],'Data Options'!$R$1:$S$100,2,FALSE), " ")</f>
        <v xml:space="preserve"> </v>
      </c>
      <c r="AQ116" s="32"/>
      <c r="AR116" s="32"/>
      <c r="AS116" s="32"/>
      <c r="AT116" s="32"/>
      <c r="AU116" s="32"/>
      <c r="AV116" s="31"/>
      <c r="AW116" s="31"/>
      <c r="AX116" s="53"/>
      <c r="AY116" s="21" t="str">
        <f>IFERROR(VLOOKUP(April[[#This Row],[Drug Name7]],'Data Options'!$R$1:$S$100,2,FALSE), " ")</f>
        <v xml:space="preserve"> </v>
      </c>
      <c r="AZ116" s="32"/>
      <c r="BA116" s="32"/>
      <c r="BB116" s="53"/>
      <c r="BC116" s="21" t="str">
        <f>IFERROR(VLOOKUP(April[[#This Row],[Drug Name8]],'Data Options'!$R$1:$S$100,2,FALSE), " ")</f>
        <v xml:space="preserve"> </v>
      </c>
      <c r="BD116" s="32"/>
      <c r="BE116" s="32"/>
      <c r="BF116" s="53"/>
      <c r="BG116" s="21" t="str">
        <f>IFERROR(VLOOKUP(April[[#This Row],[Drug Name9]],'Data Options'!$R$1:$S$100,2,FALSE), " ")</f>
        <v xml:space="preserve"> </v>
      </c>
      <c r="BH116" s="32"/>
      <c r="BI116" s="32"/>
    </row>
    <row r="117" spans="1:61">
      <c r="A117" s="5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53"/>
      <c r="Q117" s="21" t="str">
        <f>IFERROR(VLOOKUP(April[[#This Row],[Drug Name]],'Data Options'!$R$1:$S$100,2,FALSE), " ")</f>
        <v xml:space="preserve"> </v>
      </c>
      <c r="R117" s="32"/>
      <c r="S117" s="32"/>
      <c r="T117" s="53"/>
      <c r="U117" s="21" t="str">
        <f>IFERROR(VLOOKUP(April[[#This Row],[Drug Name2]],'Data Options'!$R$1:$S$100,2,FALSE), " ")</f>
        <v xml:space="preserve"> </v>
      </c>
      <c r="V117" s="32"/>
      <c r="W117" s="32"/>
      <c r="X117" s="53"/>
      <c r="Y117" s="21" t="str">
        <f>IFERROR(VLOOKUP(April[[#This Row],[Drug Name3]],'Data Options'!$R$1:$S$100,2,FALSE), " ")</f>
        <v xml:space="preserve"> </v>
      </c>
      <c r="Z117" s="32"/>
      <c r="AA117" s="32"/>
      <c r="AB117" s="32"/>
      <c r="AC117" s="32"/>
      <c r="AD117" s="32"/>
      <c r="AE117" s="31"/>
      <c r="AF117" s="31"/>
      <c r="AG117" s="53"/>
      <c r="AH117" s="21" t="str">
        <f>IFERROR(VLOOKUP(April[[#This Row],[Drug Name4]],'Data Options'!$R$1:$S$100,2,FALSE), " ")</f>
        <v xml:space="preserve"> </v>
      </c>
      <c r="AI117" s="32"/>
      <c r="AJ117" s="32"/>
      <c r="AK117" s="53"/>
      <c r="AL117" s="21" t="str">
        <f>IFERROR(VLOOKUP(April[[#This Row],[Drug Name5]],'Data Options'!$R$1:$S$100,2,FALSE), " ")</f>
        <v xml:space="preserve"> </v>
      </c>
      <c r="AM117" s="32"/>
      <c r="AN117" s="32"/>
      <c r="AO117" s="53"/>
      <c r="AP117" s="21" t="str">
        <f>IFERROR(VLOOKUP(April[[#This Row],[Drug Name6]],'Data Options'!$R$1:$S$100,2,FALSE), " ")</f>
        <v xml:space="preserve"> </v>
      </c>
      <c r="AQ117" s="32"/>
      <c r="AR117" s="32"/>
      <c r="AS117" s="32"/>
      <c r="AT117" s="32"/>
      <c r="AU117" s="32"/>
      <c r="AV117" s="31"/>
      <c r="AW117" s="31"/>
      <c r="AX117" s="53"/>
      <c r="AY117" s="21" t="str">
        <f>IFERROR(VLOOKUP(April[[#This Row],[Drug Name7]],'Data Options'!$R$1:$S$100,2,FALSE), " ")</f>
        <v xml:space="preserve"> </v>
      </c>
      <c r="AZ117" s="32"/>
      <c r="BA117" s="32"/>
      <c r="BB117" s="53"/>
      <c r="BC117" s="21" t="str">
        <f>IFERROR(VLOOKUP(April[[#This Row],[Drug Name8]],'Data Options'!$R$1:$S$100,2,FALSE), " ")</f>
        <v xml:space="preserve"> </v>
      </c>
      <c r="BD117" s="32"/>
      <c r="BE117" s="32"/>
      <c r="BF117" s="53"/>
      <c r="BG117" s="21" t="str">
        <f>IFERROR(VLOOKUP(April[[#This Row],[Drug Name9]],'Data Options'!$R$1:$S$100,2,FALSE), " ")</f>
        <v xml:space="preserve"> </v>
      </c>
      <c r="BH117" s="32"/>
      <c r="BI117" s="32"/>
    </row>
    <row r="118" spans="1:61">
      <c r="A118" s="5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53"/>
      <c r="Q118" s="21" t="str">
        <f>IFERROR(VLOOKUP(April[[#This Row],[Drug Name]],'Data Options'!$R$1:$S$100,2,FALSE), " ")</f>
        <v xml:space="preserve"> </v>
      </c>
      <c r="R118" s="32"/>
      <c r="S118" s="32"/>
      <c r="T118" s="53"/>
      <c r="U118" s="21" t="str">
        <f>IFERROR(VLOOKUP(April[[#This Row],[Drug Name2]],'Data Options'!$R$1:$S$100,2,FALSE), " ")</f>
        <v xml:space="preserve"> </v>
      </c>
      <c r="V118" s="32"/>
      <c r="W118" s="32"/>
      <c r="X118" s="53"/>
      <c r="Y118" s="21" t="str">
        <f>IFERROR(VLOOKUP(April[[#This Row],[Drug Name3]],'Data Options'!$R$1:$S$100,2,FALSE), " ")</f>
        <v xml:space="preserve"> </v>
      </c>
      <c r="Z118" s="32"/>
      <c r="AA118" s="32"/>
      <c r="AB118" s="32"/>
      <c r="AC118" s="32"/>
      <c r="AD118" s="32"/>
      <c r="AE118" s="31"/>
      <c r="AF118" s="31"/>
      <c r="AG118" s="53"/>
      <c r="AH118" s="21" t="str">
        <f>IFERROR(VLOOKUP(April[[#This Row],[Drug Name4]],'Data Options'!$R$1:$S$100,2,FALSE), " ")</f>
        <v xml:space="preserve"> </v>
      </c>
      <c r="AI118" s="32"/>
      <c r="AJ118" s="32"/>
      <c r="AK118" s="53"/>
      <c r="AL118" s="21" t="str">
        <f>IFERROR(VLOOKUP(April[[#This Row],[Drug Name5]],'Data Options'!$R$1:$S$100,2,FALSE), " ")</f>
        <v xml:space="preserve"> </v>
      </c>
      <c r="AM118" s="32"/>
      <c r="AN118" s="32"/>
      <c r="AO118" s="53"/>
      <c r="AP118" s="21" t="str">
        <f>IFERROR(VLOOKUP(April[[#This Row],[Drug Name6]],'Data Options'!$R$1:$S$100,2,FALSE), " ")</f>
        <v xml:space="preserve"> </v>
      </c>
      <c r="AQ118" s="32"/>
      <c r="AR118" s="32"/>
      <c r="AS118" s="32"/>
      <c r="AT118" s="32"/>
      <c r="AU118" s="32"/>
      <c r="AV118" s="31"/>
      <c r="AW118" s="31"/>
      <c r="AX118" s="53"/>
      <c r="AY118" s="21" t="str">
        <f>IFERROR(VLOOKUP(April[[#This Row],[Drug Name7]],'Data Options'!$R$1:$S$100,2,FALSE), " ")</f>
        <v xml:space="preserve"> </v>
      </c>
      <c r="AZ118" s="32"/>
      <c r="BA118" s="32"/>
      <c r="BB118" s="53"/>
      <c r="BC118" s="21" t="str">
        <f>IFERROR(VLOOKUP(April[[#This Row],[Drug Name8]],'Data Options'!$R$1:$S$100,2,FALSE), " ")</f>
        <v xml:space="preserve"> </v>
      </c>
      <c r="BD118" s="32"/>
      <c r="BE118" s="32"/>
      <c r="BF118" s="53"/>
      <c r="BG118" s="21" t="str">
        <f>IFERROR(VLOOKUP(April[[#This Row],[Drug Name9]],'Data Options'!$R$1:$S$100,2,FALSE), " ")</f>
        <v xml:space="preserve"> </v>
      </c>
      <c r="BH118" s="32"/>
      <c r="BI118" s="32"/>
    </row>
    <row r="119" spans="1:61">
      <c r="A119" s="5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53"/>
      <c r="Q119" s="21" t="str">
        <f>IFERROR(VLOOKUP(April[[#This Row],[Drug Name]],'Data Options'!$R$1:$S$100,2,FALSE), " ")</f>
        <v xml:space="preserve"> </v>
      </c>
      <c r="R119" s="32"/>
      <c r="S119" s="32"/>
      <c r="T119" s="53"/>
      <c r="U119" s="21" t="str">
        <f>IFERROR(VLOOKUP(April[[#This Row],[Drug Name2]],'Data Options'!$R$1:$S$100,2,FALSE), " ")</f>
        <v xml:space="preserve"> </v>
      </c>
      <c r="V119" s="32"/>
      <c r="W119" s="32"/>
      <c r="X119" s="53"/>
      <c r="Y119" s="21" t="str">
        <f>IFERROR(VLOOKUP(April[[#This Row],[Drug Name3]],'Data Options'!$R$1:$S$100,2,FALSE), " ")</f>
        <v xml:space="preserve"> </v>
      </c>
      <c r="Z119" s="32"/>
      <c r="AA119" s="32"/>
      <c r="AB119" s="32"/>
      <c r="AC119" s="32"/>
      <c r="AD119" s="32"/>
      <c r="AE119" s="31"/>
      <c r="AF119" s="31"/>
      <c r="AG119" s="53"/>
      <c r="AH119" s="21" t="str">
        <f>IFERROR(VLOOKUP(April[[#This Row],[Drug Name4]],'Data Options'!$R$1:$S$100,2,FALSE), " ")</f>
        <v xml:space="preserve"> </v>
      </c>
      <c r="AI119" s="32"/>
      <c r="AJ119" s="32"/>
      <c r="AK119" s="53"/>
      <c r="AL119" s="21" t="str">
        <f>IFERROR(VLOOKUP(April[[#This Row],[Drug Name5]],'Data Options'!$R$1:$S$100,2,FALSE), " ")</f>
        <v xml:space="preserve"> </v>
      </c>
      <c r="AM119" s="32"/>
      <c r="AN119" s="32"/>
      <c r="AO119" s="53"/>
      <c r="AP119" s="21" t="str">
        <f>IFERROR(VLOOKUP(April[[#This Row],[Drug Name6]],'Data Options'!$R$1:$S$100,2,FALSE), " ")</f>
        <v xml:space="preserve"> </v>
      </c>
      <c r="AQ119" s="32"/>
      <c r="AR119" s="32"/>
      <c r="AS119" s="32"/>
      <c r="AT119" s="32"/>
      <c r="AU119" s="32"/>
      <c r="AV119" s="31"/>
      <c r="AW119" s="31"/>
      <c r="AX119" s="53"/>
      <c r="AY119" s="21" t="str">
        <f>IFERROR(VLOOKUP(April[[#This Row],[Drug Name7]],'Data Options'!$R$1:$S$100,2,FALSE), " ")</f>
        <v xml:space="preserve"> </v>
      </c>
      <c r="AZ119" s="32"/>
      <c r="BA119" s="32"/>
      <c r="BB119" s="53"/>
      <c r="BC119" s="21" t="str">
        <f>IFERROR(VLOOKUP(April[[#This Row],[Drug Name8]],'Data Options'!$R$1:$S$100,2,FALSE), " ")</f>
        <v xml:space="preserve"> </v>
      </c>
      <c r="BD119" s="32"/>
      <c r="BE119" s="32"/>
      <c r="BF119" s="53"/>
      <c r="BG119" s="21" t="str">
        <f>IFERROR(VLOOKUP(April[[#This Row],[Drug Name9]],'Data Options'!$R$1:$S$100,2,FALSE), " ")</f>
        <v xml:space="preserve"> </v>
      </c>
      <c r="BH119" s="32"/>
      <c r="BI119" s="32"/>
    </row>
    <row r="120" spans="1:61">
      <c r="A120" s="5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53"/>
      <c r="Q120" s="21" t="str">
        <f>IFERROR(VLOOKUP(April[[#This Row],[Drug Name]],'Data Options'!$R$1:$S$100,2,FALSE), " ")</f>
        <v xml:space="preserve"> </v>
      </c>
      <c r="R120" s="32"/>
      <c r="S120" s="32"/>
      <c r="T120" s="53"/>
      <c r="U120" s="21" t="str">
        <f>IFERROR(VLOOKUP(April[[#This Row],[Drug Name2]],'Data Options'!$R$1:$S$100,2,FALSE), " ")</f>
        <v xml:space="preserve"> </v>
      </c>
      <c r="V120" s="32"/>
      <c r="W120" s="32"/>
      <c r="X120" s="53"/>
      <c r="Y120" s="21" t="str">
        <f>IFERROR(VLOOKUP(April[[#This Row],[Drug Name3]],'Data Options'!$R$1:$S$100,2,FALSE), " ")</f>
        <v xml:space="preserve"> </v>
      </c>
      <c r="Z120" s="32"/>
      <c r="AA120" s="32"/>
      <c r="AB120" s="32"/>
      <c r="AC120" s="32"/>
      <c r="AD120" s="32"/>
      <c r="AE120" s="31"/>
      <c r="AF120" s="31"/>
      <c r="AG120" s="53"/>
      <c r="AH120" s="21" t="str">
        <f>IFERROR(VLOOKUP(April[[#This Row],[Drug Name4]],'Data Options'!$R$1:$S$100,2,FALSE), " ")</f>
        <v xml:space="preserve"> </v>
      </c>
      <c r="AI120" s="32"/>
      <c r="AJ120" s="32"/>
      <c r="AK120" s="53"/>
      <c r="AL120" s="21" t="str">
        <f>IFERROR(VLOOKUP(April[[#This Row],[Drug Name5]],'Data Options'!$R$1:$S$100,2,FALSE), " ")</f>
        <v xml:space="preserve"> </v>
      </c>
      <c r="AM120" s="32"/>
      <c r="AN120" s="32"/>
      <c r="AO120" s="53"/>
      <c r="AP120" s="21" t="str">
        <f>IFERROR(VLOOKUP(April[[#This Row],[Drug Name6]],'Data Options'!$R$1:$S$100,2,FALSE), " ")</f>
        <v xml:space="preserve"> </v>
      </c>
      <c r="AQ120" s="32"/>
      <c r="AR120" s="32"/>
      <c r="AS120" s="32"/>
      <c r="AT120" s="32"/>
      <c r="AU120" s="32"/>
      <c r="AV120" s="31"/>
      <c r="AW120" s="31"/>
      <c r="AX120" s="53"/>
      <c r="AY120" s="21" t="str">
        <f>IFERROR(VLOOKUP(April[[#This Row],[Drug Name7]],'Data Options'!$R$1:$S$100,2,FALSE), " ")</f>
        <v xml:space="preserve"> </v>
      </c>
      <c r="AZ120" s="32"/>
      <c r="BA120" s="32"/>
      <c r="BB120" s="53"/>
      <c r="BC120" s="21" t="str">
        <f>IFERROR(VLOOKUP(April[[#This Row],[Drug Name8]],'Data Options'!$R$1:$S$100,2,FALSE), " ")</f>
        <v xml:space="preserve"> </v>
      </c>
      <c r="BD120" s="32"/>
      <c r="BE120" s="32"/>
      <c r="BF120" s="53"/>
      <c r="BG120" s="21" t="str">
        <f>IFERROR(VLOOKUP(April[[#This Row],[Drug Name9]],'Data Options'!$R$1:$S$100,2,FALSE), " ")</f>
        <v xml:space="preserve"> </v>
      </c>
      <c r="BH120" s="32"/>
      <c r="BI120" s="32"/>
    </row>
    <row r="121" spans="1:61">
      <c r="A121" s="5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53"/>
      <c r="Q121" s="21" t="str">
        <f>IFERROR(VLOOKUP(April[[#This Row],[Drug Name]],'Data Options'!$R$1:$S$100,2,FALSE), " ")</f>
        <v xml:space="preserve"> </v>
      </c>
      <c r="R121" s="32"/>
      <c r="S121" s="32"/>
      <c r="T121" s="53"/>
      <c r="U121" s="21" t="str">
        <f>IFERROR(VLOOKUP(April[[#This Row],[Drug Name2]],'Data Options'!$R$1:$S$100,2,FALSE), " ")</f>
        <v xml:space="preserve"> </v>
      </c>
      <c r="V121" s="32"/>
      <c r="W121" s="32"/>
      <c r="X121" s="53"/>
      <c r="Y121" s="21" t="str">
        <f>IFERROR(VLOOKUP(April[[#This Row],[Drug Name3]],'Data Options'!$R$1:$S$100,2,FALSE), " ")</f>
        <v xml:space="preserve"> </v>
      </c>
      <c r="Z121" s="32"/>
      <c r="AA121" s="32"/>
      <c r="AB121" s="32"/>
      <c r="AC121" s="32"/>
      <c r="AD121" s="32"/>
      <c r="AE121" s="31"/>
      <c r="AF121" s="31"/>
      <c r="AG121" s="53"/>
      <c r="AH121" s="21" t="str">
        <f>IFERROR(VLOOKUP(April[[#This Row],[Drug Name4]],'Data Options'!$R$1:$S$100,2,FALSE), " ")</f>
        <v xml:space="preserve"> </v>
      </c>
      <c r="AI121" s="32"/>
      <c r="AJ121" s="32"/>
      <c r="AK121" s="53"/>
      <c r="AL121" s="21" t="str">
        <f>IFERROR(VLOOKUP(April[[#This Row],[Drug Name5]],'Data Options'!$R$1:$S$100,2,FALSE), " ")</f>
        <v xml:space="preserve"> </v>
      </c>
      <c r="AM121" s="32"/>
      <c r="AN121" s="32"/>
      <c r="AO121" s="53"/>
      <c r="AP121" s="21" t="str">
        <f>IFERROR(VLOOKUP(April[[#This Row],[Drug Name6]],'Data Options'!$R$1:$S$100,2,FALSE), " ")</f>
        <v xml:space="preserve"> </v>
      </c>
      <c r="AQ121" s="32"/>
      <c r="AR121" s="32"/>
      <c r="AS121" s="32"/>
      <c r="AT121" s="32"/>
      <c r="AU121" s="32"/>
      <c r="AV121" s="31"/>
      <c r="AW121" s="31"/>
      <c r="AX121" s="53"/>
      <c r="AY121" s="21" t="str">
        <f>IFERROR(VLOOKUP(April[[#This Row],[Drug Name7]],'Data Options'!$R$1:$S$100,2,FALSE), " ")</f>
        <v xml:space="preserve"> </v>
      </c>
      <c r="AZ121" s="32"/>
      <c r="BA121" s="32"/>
      <c r="BB121" s="53"/>
      <c r="BC121" s="21" t="str">
        <f>IFERROR(VLOOKUP(April[[#This Row],[Drug Name8]],'Data Options'!$R$1:$S$100,2,FALSE), " ")</f>
        <v xml:space="preserve"> </v>
      </c>
      <c r="BD121" s="32"/>
      <c r="BE121" s="32"/>
      <c r="BF121" s="53"/>
      <c r="BG121" s="21" t="str">
        <f>IFERROR(VLOOKUP(April[[#This Row],[Drug Name9]],'Data Options'!$R$1:$S$100,2,FALSE), " ")</f>
        <v xml:space="preserve"> </v>
      </c>
      <c r="BH121" s="32"/>
      <c r="BI121" s="32"/>
    </row>
    <row r="122" spans="1:61">
      <c r="A122" s="5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53"/>
      <c r="Q122" s="21" t="str">
        <f>IFERROR(VLOOKUP(April[[#This Row],[Drug Name]],'Data Options'!$R$1:$S$100,2,FALSE), " ")</f>
        <v xml:space="preserve"> </v>
      </c>
      <c r="R122" s="32"/>
      <c r="S122" s="32"/>
      <c r="T122" s="53"/>
      <c r="U122" s="21" t="str">
        <f>IFERROR(VLOOKUP(April[[#This Row],[Drug Name2]],'Data Options'!$R$1:$S$100,2,FALSE), " ")</f>
        <v xml:space="preserve"> </v>
      </c>
      <c r="V122" s="32"/>
      <c r="W122" s="32"/>
      <c r="X122" s="53"/>
      <c r="Y122" s="21" t="str">
        <f>IFERROR(VLOOKUP(April[[#This Row],[Drug Name3]],'Data Options'!$R$1:$S$100,2,FALSE), " ")</f>
        <v xml:space="preserve"> </v>
      </c>
      <c r="Z122" s="32"/>
      <c r="AA122" s="32"/>
      <c r="AB122" s="32"/>
      <c r="AC122" s="32"/>
      <c r="AD122" s="32"/>
      <c r="AE122" s="31"/>
      <c r="AF122" s="31"/>
      <c r="AG122" s="53"/>
      <c r="AH122" s="21" t="str">
        <f>IFERROR(VLOOKUP(April[[#This Row],[Drug Name4]],'Data Options'!$R$1:$S$100,2,FALSE), " ")</f>
        <v xml:space="preserve"> </v>
      </c>
      <c r="AI122" s="32"/>
      <c r="AJ122" s="32"/>
      <c r="AK122" s="53"/>
      <c r="AL122" s="21" t="str">
        <f>IFERROR(VLOOKUP(April[[#This Row],[Drug Name5]],'Data Options'!$R$1:$S$100,2,FALSE), " ")</f>
        <v xml:space="preserve"> </v>
      </c>
      <c r="AM122" s="32"/>
      <c r="AN122" s="32"/>
      <c r="AO122" s="53"/>
      <c r="AP122" s="21" t="str">
        <f>IFERROR(VLOOKUP(April[[#This Row],[Drug Name6]],'Data Options'!$R$1:$S$100,2,FALSE), " ")</f>
        <v xml:space="preserve"> </v>
      </c>
      <c r="AQ122" s="32"/>
      <c r="AR122" s="32"/>
      <c r="AS122" s="32"/>
      <c r="AT122" s="32"/>
      <c r="AU122" s="32"/>
      <c r="AV122" s="31"/>
      <c r="AW122" s="31"/>
      <c r="AX122" s="53"/>
      <c r="AY122" s="21" t="str">
        <f>IFERROR(VLOOKUP(April[[#This Row],[Drug Name7]],'Data Options'!$R$1:$S$100,2,FALSE), " ")</f>
        <v xml:space="preserve"> </v>
      </c>
      <c r="AZ122" s="32"/>
      <c r="BA122" s="32"/>
      <c r="BB122" s="53"/>
      <c r="BC122" s="21" t="str">
        <f>IFERROR(VLOOKUP(April[[#This Row],[Drug Name8]],'Data Options'!$R$1:$S$100,2,FALSE), " ")</f>
        <v xml:space="preserve"> </v>
      </c>
      <c r="BD122" s="32"/>
      <c r="BE122" s="32"/>
      <c r="BF122" s="53"/>
      <c r="BG122" s="21" t="str">
        <f>IFERROR(VLOOKUP(April[[#This Row],[Drug Name9]],'Data Options'!$R$1:$S$100,2,FALSE), " ")</f>
        <v xml:space="preserve"> </v>
      </c>
      <c r="BH122" s="32"/>
      <c r="BI122" s="32"/>
    </row>
    <row r="123" spans="1:61">
      <c r="A123" s="5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53"/>
      <c r="Q123" s="21" t="str">
        <f>IFERROR(VLOOKUP(April[[#This Row],[Drug Name]],'Data Options'!$R$1:$S$100,2,FALSE), " ")</f>
        <v xml:space="preserve"> </v>
      </c>
      <c r="R123" s="32"/>
      <c r="S123" s="32"/>
      <c r="T123" s="53"/>
      <c r="U123" s="21" t="str">
        <f>IFERROR(VLOOKUP(April[[#This Row],[Drug Name2]],'Data Options'!$R$1:$S$100,2,FALSE), " ")</f>
        <v xml:space="preserve"> </v>
      </c>
      <c r="V123" s="32"/>
      <c r="W123" s="32"/>
      <c r="X123" s="53"/>
      <c r="Y123" s="21" t="str">
        <f>IFERROR(VLOOKUP(April[[#This Row],[Drug Name3]],'Data Options'!$R$1:$S$100,2,FALSE), " ")</f>
        <v xml:space="preserve"> </v>
      </c>
      <c r="Z123" s="32"/>
      <c r="AA123" s="32"/>
      <c r="AB123" s="32"/>
      <c r="AC123" s="32"/>
      <c r="AD123" s="32"/>
      <c r="AE123" s="31"/>
      <c r="AF123" s="31"/>
      <c r="AG123" s="53"/>
      <c r="AH123" s="21" t="str">
        <f>IFERROR(VLOOKUP(April[[#This Row],[Drug Name4]],'Data Options'!$R$1:$S$100,2,FALSE), " ")</f>
        <v xml:space="preserve"> </v>
      </c>
      <c r="AI123" s="32"/>
      <c r="AJ123" s="32"/>
      <c r="AK123" s="53"/>
      <c r="AL123" s="21" t="str">
        <f>IFERROR(VLOOKUP(April[[#This Row],[Drug Name5]],'Data Options'!$R$1:$S$100,2,FALSE), " ")</f>
        <v xml:space="preserve"> </v>
      </c>
      <c r="AM123" s="32"/>
      <c r="AN123" s="32"/>
      <c r="AO123" s="53"/>
      <c r="AP123" s="21" t="str">
        <f>IFERROR(VLOOKUP(April[[#This Row],[Drug Name6]],'Data Options'!$R$1:$S$100,2,FALSE), " ")</f>
        <v xml:space="preserve"> </v>
      </c>
      <c r="AQ123" s="32"/>
      <c r="AR123" s="32"/>
      <c r="AS123" s="32"/>
      <c r="AT123" s="32"/>
      <c r="AU123" s="32"/>
      <c r="AV123" s="31"/>
      <c r="AW123" s="31"/>
      <c r="AX123" s="53"/>
      <c r="AY123" s="21" t="str">
        <f>IFERROR(VLOOKUP(April[[#This Row],[Drug Name7]],'Data Options'!$R$1:$S$100,2,FALSE), " ")</f>
        <v xml:space="preserve"> </v>
      </c>
      <c r="AZ123" s="32"/>
      <c r="BA123" s="32"/>
      <c r="BB123" s="53"/>
      <c r="BC123" s="21" t="str">
        <f>IFERROR(VLOOKUP(April[[#This Row],[Drug Name8]],'Data Options'!$R$1:$S$100,2,FALSE), " ")</f>
        <v xml:space="preserve"> </v>
      </c>
      <c r="BD123" s="32"/>
      <c r="BE123" s="32"/>
      <c r="BF123" s="53"/>
      <c r="BG123" s="21" t="str">
        <f>IFERROR(VLOOKUP(April[[#This Row],[Drug Name9]],'Data Options'!$R$1:$S$100,2,FALSE), " ")</f>
        <v xml:space="preserve"> </v>
      </c>
      <c r="BH123" s="32"/>
      <c r="BI123" s="32"/>
    </row>
    <row r="124" spans="1:61">
      <c r="A124" s="5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53"/>
      <c r="Q124" s="21" t="str">
        <f>IFERROR(VLOOKUP(April[[#This Row],[Drug Name]],'Data Options'!$R$1:$S$100,2,FALSE), " ")</f>
        <v xml:space="preserve"> </v>
      </c>
      <c r="R124" s="32"/>
      <c r="S124" s="32"/>
      <c r="T124" s="53"/>
      <c r="U124" s="21" t="str">
        <f>IFERROR(VLOOKUP(April[[#This Row],[Drug Name2]],'Data Options'!$R$1:$S$100,2,FALSE), " ")</f>
        <v xml:space="preserve"> </v>
      </c>
      <c r="V124" s="32"/>
      <c r="W124" s="32"/>
      <c r="X124" s="53"/>
      <c r="Y124" s="21" t="str">
        <f>IFERROR(VLOOKUP(April[[#This Row],[Drug Name3]],'Data Options'!$R$1:$S$100,2,FALSE), " ")</f>
        <v xml:space="preserve"> </v>
      </c>
      <c r="Z124" s="32"/>
      <c r="AA124" s="32"/>
      <c r="AB124" s="32"/>
      <c r="AC124" s="32"/>
      <c r="AD124" s="32"/>
      <c r="AE124" s="31"/>
      <c r="AF124" s="31"/>
      <c r="AG124" s="53"/>
      <c r="AH124" s="21" t="str">
        <f>IFERROR(VLOOKUP(April[[#This Row],[Drug Name4]],'Data Options'!$R$1:$S$100,2,FALSE), " ")</f>
        <v xml:space="preserve"> </v>
      </c>
      <c r="AI124" s="32"/>
      <c r="AJ124" s="32"/>
      <c r="AK124" s="53"/>
      <c r="AL124" s="21" t="str">
        <f>IFERROR(VLOOKUP(April[[#This Row],[Drug Name5]],'Data Options'!$R$1:$S$100,2,FALSE), " ")</f>
        <v xml:space="preserve"> </v>
      </c>
      <c r="AM124" s="32"/>
      <c r="AN124" s="32"/>
      <c r="AO124" s="53"/>
      <c r="AP124" s="21" t="str">
        <f>IFERROR(VLOOKUP(April[[#This Row],[Drug Name6]],'Data Options'!$R$1:$S$100,2,FALSE), " ")</f>
        <v xml:space="preserve"> </v>
      </c>
      <c r="AQ124" s="32"/>
      <c r="AR124" s="32"/>
      <c r="AS124" s="32"/>
      <c r="AT124" s="32"/>
      <c r="AU124" s="32"/>
      <c r="AV124" s="31"/>
      <c r="AW124" s="31"/>
      <c r="AX124" s="53"/>
      <c r="AY124" s="21" t="str">
        <f>IFERROR(VLOOKUP(April[[#This Row],[Drug Name7]],'Data Options'!$R$1:$S$100,2,FALSE), " ")</f>
        <v xml:space="preserve"> </v>
      </c>
      <c r="AZ124" s="32"/>
      <c r="BA124" s="32"/>
      <c r="BB124" s="53"/>
      <c r="BC124" s="21" t="str">
        <f>IFERROR(VLOOKUP(April[[#This Row],[Drug Name8]],'Data Options'!$R$1:$S$100,2,FALSE), " ")</f>
        <v xml:space="preserve"> </v>
      </c>
      <c r="BD124" s="32"/>
      <c r="BE124" s="32"/>
      <c r="BF124" s="53"/>
      <c r="BG124" s="21" t="str">
        <f>IFERROR(VLOOKUP(April[[#This Row],[Drug Name9]],'Data Options'!$R$1:$S$100,2,FALSE), " ")</f>
        <v xml:space="preserve"> </v>
      </c>
      <c r="BH124" s="32"/>
      <c r="BI124" s="32"/>
    </row>
    <row r="125" spans="1:61">
      <c r="A125" s="5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53"/>
      <c r="Q125" s="21" t="str">
        <f>IFERROR(VLOOKUP(April[[#This Row],[Drug Name]],'Data Options'!$R$1:$S$100,2,FALSE), " ")</f>
        <v xml:space="preserve"> </v>
      </c>
      <c r="R125" s="32"/>
      <c r="S125" s="32"/>
      <c r="T125" s="53"/>
      <c r="U125" s="21" t="str">
        <f>IFERROR(VLOOKUP(April[[#This Row],[Drug Name2]],'Data Options'!$R$1:$S$100,2,FALSE), " ")</f>
        <v xml:space="preserve"> </v>
      </c>
      <c r="V125" s="32"/>
      <c r="W125" s="32"/>
      <c r="X125" s="53"/>
      <c r="Y125" s="21" t="str">
        <f>IFERROR(VLOOKUP(April[[#This Row],[Drug Name3]],'Data Options'!$R$1:$S$100,2,FALSE), " ")</f>
        <v xml:space="preserve"> </v>
      </c>
      <c r="Z125" s="32"/>
      <c r="AA125" s="32"/>
      <c r="AB125" s="32"/>
      <c r="AC125" s="32"/>
      <c r="AD125" s="32"/>
      <c r="AE125" s="31"/>
      <c r="AF125" s="31"/>
      <c r="AG125" s="53"/>
      <c r="AH125" s="21" t="str">
        <f>IFERROR(VLOOKUP(April[[#This Row],[Drug Name4]],'Data Options'!$R$1:$S$100,2,FALSE), " ")</f>
        <v xml:space="preserve"> </v>
      </c>
      <c r="AI125" s="32"/>
      <c r="AJ125" s="32"/>
      <c r="AK125" s="53"/>
      <c r="AL125" s="21" t="str">
        <f>IFERROR(VLOOKUP(April[[#This Row],[Drug Name5]],'Data Options'!$R$1:$S$100,2,FALSE), " ")</f>
        <v xml:space="preserve"> </v>
      </c>
      <c r="AM125" s="32"/>
      <c r="AN125" s="32"/>
      <c r="AO125" s="53"/>
      <c r="AP125" s="21" t="str">
        <f>IFERROR(VLOOKUP(April[[#This Row],[Drug Name6]],'Data Options'!$R$1:$S$100,2,FALSE), " ")</f>
        <v xml:space="preserve"> </v>
      </c>
      <c r="AQ125" s="32"/>
      <c r="AR125" s="32"/>
      <c r="AS125" s="32"/>
      <c r="AT125" s="32"/>
      <c r="AU125" s="32"/>
      <c r="AV125" s="31"/>
      <c r="AW125" s="31"/>
      <c r="AX125" s="53"/>
      <c r="AY125" s="21" t="str">
        <f>IFERROR(VLOOKUP(April[[#This Row],[Drug Name7]],'Data Options'!$R$1:$S$100,2,FALSE), " ")</f>
        <v xml:space="preserve"> </v>
      </c>
      <c r="AZ125" s="32"/>
      <c r="BA125" s="32"/>
      <c r="BB125" s="53"/>
      <c r="BC125" s="21" t="str">
        <f>IFERROR(VLOOKUP(April[[#This Row],[Drug Name8]],'Data Options'!$R$1:$S$100,2,FALSE), " ")</f>
        <v xml:space="preserve"> </v>
      </c>
      <c r="BD125" s="32"/>
      <c r="BE125" s="32"/>
      <c r="BF125" s="53"/>
      <c r="BG125" s="21" t="str">
        <f>IFERROR(VLOOKUP(April[[#This Row],[Drug Name9]],'Data Options'!$R$1:$S$100,2,FALSE), " ")</f>
        <v xml:space="preserve"> </v>
      </c>
      <c r="BH125" s="32"/>
      <c r="BI125" s="32"/>
    </row>
    <row r="126" spans="1:61">
      <c r="A126" s="5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53"/>
      <c r="Q126" s="21" t="str">
        <f>IFERROR(VLOOKUP(April[[#This Row],[Drug Name]],'Data Options'!$R$1:$S$100,2,FALSE), " ")</f>
        <v xml:space="preserve"> </v>
      </c>
      <c r="R126" s="32"/>
      <c r="S126" s="32"/>
      <c r="T126" s="53"/>
      <c r="U126" s="21" t="str">
        <f>IFERROR(VLOOKUP(April[[#This Row],[Drug Name2]],'Data Options'!$R$1:$S$100,2,FALSE), " ")</f>
        <v xml:space="preserve"> </v>
      </c>
      <c r="V126" s="32"/>
      <c r="W126" s="32"/>
      <c r="X126" s="53"/>
      <c r="Y126" s="21" t="str">
        <f>IFERROR(VLOOKUP(April[[#This Row],[Drug Name3]],'Data Options'!$R$1:$S$100,2,FALSE), " ")</f>
        <v xml:space="preserve"> </v>
      </c>
      <c r="Z126" s="32"/>
      <c r="AA126" s="32"/>
      <c r="AB126" s="32"/>
      <c r="AC126" s="32"/>
      <c r="AD126" s="32"/>
      <c r="AE126" s="31"/>
      <c r="AF126" s="31"/>
      <c r="AG126" s="53"/>
      <c r="AH126" s="21" t="str">
        <f>IFERROR(VLOOKUP(April[[#This Row],[Drug Name4]],'Data Options'!$R$1:$S$100,2,FALSE), " ")</f>
        <v xml:space="preserve"> </v>
      </c>
      <c r="AI126" s="32"/>
      <c r="AJ126" s="32"/>
      <c r="AK126" s="53"/>
      <c r="AL126" s="21" t="str">
        <f>IFERROR(VLOOKUP(April[[#This Row],[Drug Name5]],'Data Options'!$R$1:$S$100,2,FALSE), " ")</f>
        <v xml:space="preserve"> </v>
      </c>
      <c r="AM126" s="32"/>
      <c r="AN126" s="32"/>
      <c r="AO126" s="53"/>
      <c r="AP126" s="21" t="str">
        <f>IFERROR(VLOOKUP(April[[#This Row],[Drug Name6]],'Data Options'!$R$1:$S$100,2,FALSE), " ")</f>
        <v xml:space="preserve"> </v>
      </c>
      <c r="AQ126" s="32"/>
      <c r="AR126" s="32"/>
      <c r="AS126" s="32"/>
      <c r="AT126" s="32"/>
      <c r="AU126" s="32"/>
      <c r="AV126" s="31"/>
      <c r="AW126" s="31"/>
      <c r="AX126" s="53"/>
      <c r="AY126" s="21" t="str">
        <f>IFERROR(VLOOKUP(April[[#This Row],[Drug Name7]],'Data Options'!$R$1:$S$100,2,FALSE), " ")</f>
        <v xml:space="preserve"> </v>
      </c>
      <c r="AZ126" s="32"/>
      <c r="BA126" s="32"/>
      <c r="BB126" s="53"/>
      <c r="BC126" s="21" t="str">
        <f>IFERROR(VLOOKUP(April[[#This Row],[Drug Name8]],'Data Options'!$R$1:$S$100,2,FALSE), " ")</f>
        <v xml:space="preserve"> </v>
      </c>
      <c r="BD126" s="32"/>
      <c r="BE126" s="32"/>
      <c r="BF126" s="53"/>
      <c r="BG126" s="21" t="str">
        <f>IFERROR(VLOOKUP(April[[#This Row],[Drug Name9]],'Data Options'!$R$1:$S$100,2,FALSE), " ")</f>
        <v xml:space="preserve"> </v>
      </c>
      <c r="BH126" s="32"/>
      <c r="BI126" s="32"/>
    </row>
    <row r="127" spans="1:61">
      <c r="A127" s="5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53"/>
      <c r="Q127" s="21" t="str">
        <f>IFERROR(VLOOKUP(April[[#This Row],[Drug Name]],'Data Options'!$R$1:$S$100,2,FALSE), " ")</f>
        <v xml:space="preserve"> </v>
      </c>
      <c r="R127" s="32"/>
      <c r="S127" s="32"/>
      <c r="T127" s="53"/>
      <c r="U127" s="21" t="str">
        <f>IFERROR(VLOOKUP(April[[#This Row],[Drug Name2]],'Data Options'!$R$1:$S$100,2,FALSE), " ")</f>
        <v xml:space="preserve"> </v>
      </c>
      <c r="V127" s="32"/>
      <c r="W127" s="32"/>
      <c r="X127" s="53"/>
      <c r="Y127" s="21" t="str">
        <f>IFERROR(VLOOKUP(April[[#This Row],[Drug Name3]],'Data Options'!$R$1:$S$100,2,FALSE), " ")</f>
        <v xml:space="preserve"> </v>
      </c>
      <c r="Z127" s="32"/>
      <c r="AA127" s="32"/>
      <c r="AB127" s="32"/>
      <c r="AC127" s="32"/>
      <c r="AD127" s="32"/>
      <c r="AE127" s="31"/>
      <c r="AF127" s="31"/>
      <c r="AG127" s="53"/>
      <c r="AH127" s="21" t="str">
        <f>IFERROR(VLOOKUP(April[[#This Row],[Drug Name4]],'Data Options'!$R$1:$S$100,2,FALSE), " ")</f>
        <v xml:space="preserve"> </v>
      </c>
      <c r="AI127" s="32"/>
      <c r="AJ127" s="32"/>
      <c r="AK127" s="53"/>
      <c r="AL127" s="21" t="str">
        <f>IFERROR(VLOOKUP(April[[#This Row],[Drug Name5]],'Data Options'!$R$1:$S$100,2,FALSE), " ")</f>
        <v xml:space="preserve"> </v>
      </c>
      <c r="AM127" s="32"/>
      <c r="AN127" s="32"/>
      <c r="AO127" s="53"/>
      <c r="AP127" s="21" t="str">
        <f>IFERROR(VLOOKUP(April[[#This Row],[Drug Name6]],'Data Options'!$R$1:$S$100,2,FALSE), " ")</f>
        <v xml:space="preserve"> </v>
      </c>
      <c r="AQ127" s="32"/>
      <c r="AR127" s="32"/>
      <c r="AS127" s="32"/>
      <c r="AT127" s="32"/>
      <c r="AU127" s="32"/>
      <c r="AV127" s="31"/>
      <c r="AW127" s="31"/>
      <c r="AX127" s="53"/>
      <c r="AY127" s="21" t="str">
        <f>IFERROR(VLOOKUP(April[[#This Row],[Drug Name7]],'Data Options'!$R$1:$S$100,2,FALSE), " ")</f>
        <v xml:space="preserve"> </v>
      </c>
      <c r="AZ127" s="32"/>
      <c r="BA127" s="32"/>
      <c r="BB127" s="53"/>
      <c r="BC127" s="21" t="str">
        <f>IFERROR(VLOOKUP(April[[#This Row],[Drug Name8]],'Data Options'!$R$1:$S$100,2,FALSE), " ")</f>
        <v xml:space="preserve"> </v>
      </c>
      <c r="BD127" s="32"/>
      <c r="BE127" s="32"/>
      <c r="BF127" s="53"/>
      <c r="BG127" s="21" t="str">
        <f>IFERROR(VLOOKUP(April[[#This Row],[Drug Name9]],'Data Options'!$R$1:$S$100,2,FALSE), " ")</f>
        <v xml:space="preserve"> </v>
      </c>
      <c r="BH127" s="32"/>
      <c r="BI127" s="32"/>
    </row>
    <row r="128" spans="1:61">
      <c r="A128" s="5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53"/>
      <c r="Q128" s="21" t="str">
        <f>IFERROR(VLOOKUP(April[[#This Row],[Drug Name]],'Data Options'!$R$1:$S$100,2,FALSE), " ")</f>
        <v xml:space="preserve"> </v>
      </c>
      <c r="R128" s="32"/>
      <c r="S128" s="32"/>
      <c r="T128" s="53"/>
      <c r="U128" s="21" t="str">
        <f>IFERROR(VLOOKUP(April[[#This Row],[Drug Name2]],'Data Options'!$R$1:$S$100,2,FALSE), " ")</f>
        <v xml:space="preserve"> </v>
      </c>
      <c r="V128" s="32"/>
      <c r="W128" s="32"/>
      <c r="X128" s="53"/>
      <c r="Y128" s="21" t="str">
        <f>IFERROR(VLOOKUP(April[[#This Row],[Drug Name3]],'Data Options'!$R$1:$S$100,2,FALSE), " ")</f>
        <v xml:space="preserve"> </v>
      </c>
      <c r="Z128" s="32"/>
      <c r="AA128" s="32"/>
      <c r="AB128" s="32"/>
      <c r="AC128" s="32"/>
      <c r="AD128" s="32"/>
      <c r="AE128" s="31"/>
      <c r="AF128" s="31"/>
      <c r="AG128" s="53"/>
      <c r="AH128" s="21" t="str">
        <f>IFERROR(VLOOKUP(April[[#This Row],[Drug Name4]],'Data Options'!$R$1:$S$100,2,FALSE), " ")</f>
        <v xml:space="preserve"> </v>
      </c>
      <c r="AI128" s="32"/>
      <c r="AJ128" s="32"/>
      <c r="AK128" s="53"/>
      <c r="AL128" s="21" t="str">
        <f>IFERROR(VLOOKUP(April[[#This Row],[Drug Name5]],'Data Options'!$R$1:$S$100,2,FALSE), " ")</f>
        <v xml:space="preserve"> </v>
      </c>
      <c r="AM128" s="32"/>
      <c r="AN128" s="32"/>
      <c r="AO128" s="53"/>
      <c r="AP128" s="21" t="str">
        <f>IFERROR(VLOOKUP(April[[#This Row],[Drug Name6]],'Data Options'!$R$1:$S$100,2,FALSE), " ")</f>
        <v xml:space="preserve"> </v>
      </c>
      <c r="AQ128" s="32"/>
      <c r="AR128" s="32"/>
      <c r="AS128" s="32"/>
      <c r="AT128" s="32"/>
      <c r="AU128" s="32"/>
      <c r="AV128" s="31"/>
      <c r="AW128" s="31"/>
      <c r="AX128" s="53"/>
      <c r="AY128" s="21" t="str">
        <f>IFERROR(VLOOKUP(April[[#This Row],[Drug Name7]],'Data Options'!$R$1:$S$100,2,FALSE), " ")</f>
        <v xml:space="preserve"> </v>
      </c>
      <c r="AZ128" s="32"/>
      <c r="BA128" s="32"/>
      <c r="BB128" s="53"/>
      <c r="BC128" s="21" t="str">
        <f>IFERROR(VLOOKUP(April[[#This Row],[Drug Name8]],'Data Options'!$R$1:$S$100,2,FALSE), " ")</f>
        <v xml:space="preserve"> </v>
      </c>
      <c r="BD128" s="32"/>
      <c r="BE128" s="32"/>
      <c r="BF128" s="53"/>
      <c r="BG128" s="21" t="str">
        <f>IFERROR(VLOOKUP(April[[#This Row],[Drug Name9]],'Data Options'!$R$1:$S$100,2,FALSE), " ")</f>
        <v xml:space="preserve"> </v>
      </c>
      <c r="BH128" s="32"/>
      <c r="BI128" s="32"/>
    </row>
    <row r="129" spans="1:61">
      <c r="A129" s="51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53"/>
      <c r="Q129" s="21" t="str">
        <f>IFERROR(VLOOKUP(April[[#This Row],[Drug Name]],'Data Options'!$R$1:$S$100,2,FALSE), " ")</f>
        <v xml:space="preserve"> </v>
      </c>
      <c r="R129" s="32"/>
      <c r="S129" s="32"/>
      <c r="T129" s="53"/>
      <c r="U129" s="21" t="str">
        <f>IFERROR(VLOOKUP(April[[#This Row],[Drug Name2]],'Data Options'!$R$1:$S$100,2,FALSE), " ")</f>
        <v xml:space="preserve"> </v>
      </c>
      <c r="V129" s="32"/>
      <c r="W129" s="32"/>
      <c r="X129" s="53"/>
      <c r="Y129" s="21" t="str">
        <f>IFERROR(VLOOKUP(April[[#This Row],[Drug Name3]],'Data Options'!$R$1:$S$100,2,FALSE), " ")</f>
        <v xml:space="preserve"> </v>
      </c>
      <c r="Z129" s="32"/>
      <c r="AA129" s="32"/>
      <c r="AB129" s="32"/>
      <c r="AC129" s="32"/>
      <c r="AD129" s="32"/>
      <c r="AE129" s="31"/>
      <c r="AF129" s="31"/>
      <c r="AG129" s="53"/>
      <c r="AH129" s="21" t="str">
        <f>IFERROR(VLOOKUP(April[[#This Row],[Drug Name4]],'Data Options'!$R$1:$S$100,2,FALSE), " ")</f>
        <v xml:space="preserve"> </v>
      </c>
      <c r="AI129" s="32"/>
      <c r="AJ129" s="32"/>
      <c r="AK129" s="53"/>
      <c r="AL129" s="21" t="str">
        <f>IFERROR(VLOOKUP(April[[#This Row],[Drug Name5]],'Data Options'!$R$1:$S$100,2,FALSE), " ")</f>
        <v xml:space="preserve"> </v>
      </c>
      <c r="AM129" s="32"/>
      <c r="AN129" s="32"/>
      <c r="AO129" s="53"/>
      <c r="AP129" s="21" t="str">
        <f>IFERROR(VLOOKUP(April[[#This Row],[Drug Name6]],'Data Options'!$R$1:$S$100,2,FALSE), " ")</f>
        <v xml:space="preserve"> </v>
      </c>
      <c r="AQ129" s="32"/>
      <c r="AR129" s="32"/>
      <c r="AS129" s="32"/>
      <c r="AT129" s="32"/>
      <c r="AU129" s="32"/>
      <c r="AV129" s="31"/>
      <c r="AW129" s="31"/>
      <c r="AX129" s="53"/>
      <c r="AY129" s="21" t="str">
        <f>IFERROR(VLOOKUP(April[[#This Row],[Drug Name7]],'Data Options'!$R$1:$S$100,2,FALSE), " ")</f>
        <v xml:space="preserve"> </v>
      </c>
      <c r="AZ129" s="32"/>
      <c r="BA129" s="32"/>
      <c r="BB129" s="53"/>
      <c r="BC129" s="21" t="str">
        <f>IFERROR(VLOOKUP(April[[#This Row],[Drug Name8]],'Data Options'!$R$1:$S$100,2,FALSE), " ")</f>
        <v xml:space="preserve"> </v>
      </c>
      <c r="BD129" s="32"/>
      <c r="BE129" s="32"/>
      <c r="BF129" s="53"/>
      <c r="BG129" s="21" t="str">
        <f>IFERROR(VLOOKUP(April[[#This Row],[Drug Name9]],'Data Options'!$R$1:$S$100,2,FALSE), " ")</f>
        <v xml:space="preserve"> </v>
      </c>
      <c r="BH129" s="32"/>
      <c r="BI129" s="32"/>
    </row>
    <row r="130" spans="1:61">
      <c r="A130" s="5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53"/>
      <c r="Q130" s="21" t="str">
        <f>IFERROR(VLOOKUP(April[[#This Row],[Drug Name]],'Data Options'!$R$1:$S$100,2,FALSE), " ")</f>
        <v xml:space="preserve"> </v>
      </c>
      <c r="R130" s="32"/>
      <c r="S130" s="32"/>
      <c r="T130" s="53"/>
      <c r="U130" s="21" t="str">
        <f>IFERROR(VLOOKUP(April[[#This Row],[Drug Name2]],'Data Options'!$R$1:$S$100,2,FALSE), " ")</f>
        <v xml:space="preserve"> </v>
      </c>
      <c r="V130" s="32"/>
      <c r="W130" s="32"/>
      <c r="X130" s="53"/>
      <c r="Y130" s="21" t="str">
        <f>IFERROR(VLOOKUP(April[[#This Row],[Drug Name3]],'Data Options'!$R$1:$S$100,2,FALSE), " ")</f>
        <v xml:space="preserve"> </v>
      </c>
      <c r="Z130" s="32"/>
      <c r="AA130" s="32"/>
      <c r="AB130" s="32"/>
      <c r="AC130" s="32"/>
      <c r="AD130" s="32"/>
      <c r="AE130" s="31"/>
      <c r="AF130" s="31"/>
      <c r="AG130" s="53"/>
      <c r="AH130" s="21" t="str">
        <f>IFERROR(VLOOKUP(April[[#This Row],[Drug Name4]],'Data Options'!$R$1:$S$100,2,FALSE), " ")</f>
        <v xml:space="preserve"> </v>
      </c>
      <c r="AI130" s="32"/>
      <c r="AJ130" s="32"/>
      <c r="AK130" s="53"/>
      <c r="AL130" s="21" t="str">
        <f>IFERROR(VLOOKUP(April[[#This Row],[Drug Name5]],'Data Options'!$R$1:$S$100,2,FALSE), " ")</f>
        <v xml:space="preserve"> </v>
      </c>
      <c r="AM130" s="32"/>
      <c r="AN130" s="32"/>
      <c r="AO130" s="53"/>
      <c r="AP130" s="21" t="str">
        <f>IFERROR(VLOOKUP(April[[#This Row],[Drug Name6]],'Data Options'!$R$1:$S$100,2,FALSE), " ")</f>
        <v xml:space="preserve"> </v>
      </c>
      <c r="AQ130" s="32"/>
      <c r="AR130" s="32"/>
      <c r="AS130" s="32"/>
      <c r="AT130" s="32"/>
      <c r="AU130" s="32"/>
      <c r="AV130" s="31"/>
      <c r="AW130" s="31"/>
      <c r="AX130" s="53"/>
      <c r="AY130" s="21" t="str">
        <f>IFERROR(VLOOKUP(April[[#This Row],[Drug Name7]],'Data Options'!$R$1:$S$100,2,FALSE), " ")</f>
        <v xml:space="preserve"> </v>
      </c>
      <c r="AZ130" s="32"/>
      <c r="BA130" s="32"/>
      <c r="BB130" s="53"/>
      <c r="BC130" s="21" t="str">
        <f>IFERROR(VLOOKUP(April[[#This Row],[Drug Name8]],'Data Options'!$R$1:$S$100,2,FALSE), " ")</f>
        <v xml:space="preserve"> </v>
      </c>
      <c r="BD130" s="32"/>
      <c r="BE130" s="32"/>
      <c r="BF130" s="53"/>
      <c r="BG130" s="21" t="str">
        <f>IFERROR(VLOOKUP(April[[#This Row],[Drug Name9]],'Data Options'!$R$1:$S$100,2,FALSE), " ")</f>
        <v xml:space="preserve"> </v>
      </c>
      <c r="BH130" s="32"/>
      <c r="BI130" s="32"/>
    </row>
    <row r="131" spans="1:61">
      <c r="A131" s="5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53"/>
      <c r="Q131" s="21" t="str">
        <f>IFERROR(VLOOKUP(April[[#This Row],[Drug Name]],'Data Options'!$R$1:$S$100,2,FALSE), " ")</f>
        <v xml:space="preserve"> </v>
      </c>
      <c r="R131" s="32"/>
      <c r="S131" s="32"/>
      <c r="T131" s="53"/>
      <c r="U131" s="21" t="str">
        <f>IFERROR(VLOOKUP(April[[#This Row],[Drug Name2]],'Data Options'!$R$1:$S$100,2,FALSE), " ")</f>
        <v xml:space="preserve"> </v>
      </c>
      <c r="V131" s="32"/>
      <c r="W131" s="32"/>
      <c r="X131" s="53"/>
      <c r="Y131" s="21" t="str">
        <f>IFERROR(VLOOKUP(April[[#This Row],[Drug Name3]],'Data Options'!$R$1:$S$100,2,FALSE), " ")</f>
        <v xml:space="preserve"> </v>
      </c>
      <c r="Z131" s="32"/>
      <c r="AA131" s="32"/>
      <c r="AB131" s="32"/>
      <c r="AC131" s="32"/>
      <c r="AD131" s="32"/>
      <c r="AE131" s="31"/>
      <c r="AF131" s="31"/>
      <c r="AG131" s="53"/>
      <c r="AH131" s="21" t="str">
        <f>IFERROR(VLOOKUP(April[[#This Row],[Drug Name4]],'Data Options'!$R$1:$S$100,2,FALSE), " ")</f>
        <v xml:space="preserve"> </v>
      </c>
      <c r="AI131" s="32"/>
      <c r="AJ131" s="32"/>
      <c r="AK131" s="53"/>
      <c r="AL131" s="21" t="str">
        <f>IFERROR(VLOOKUP(April[[#This Row],[Drug Name5]],'Data Options'!$R$1:$S$100,2,FALSE), " ")</f>
        <v xml:space="preserve"> </v>
      </c>
      <c r="AM131" s="32"/>
      <c r="AN131" s="32"/>
      <c r="AO131" s="53"/>
      <c r="AP131" s="21" t="str">
        <f>IFERROR(VLOOKUP(April[[#This Row],[Drug Name6]],'Data Options'!$R$1:$S$100,2,FALSE), " ")</f>
        <v xml:space="preserve"> </v>
      </c>
      <c r="AQ131" s="32"/>
      <c r="AR131" s="32"/>
      <c r="AS131" s="32"/>
      <c r="AT131" s="32"/>
      <c r="AU131" s="32"/>
      <c r="AV131" s="31"/>
      <c r="AW131" s="31"/>
      <c r="AX131" s="53"/>
      <c r="AY131" s="21" t="str">
        <f>IFERROR(VLOOKUP(April[[#This Row],[Drug Name7]],'Data Options'!$R$1:$S$100,2,FALSE), " ")</f>
        <v xml:space="preserve"> </v>
      </c>
      <c r="AZ131" s="32"/>
      <c r="BA131" s="32"/>
      <c r="BB131" s="53"/>
      <c r="BC131" s="21" t="str">
        <f>IFERROR(VLOOKUP(April[[#This Row],[Drug Name8]],'Data Options'!$R$1:$S$100,2,FALSE), " ")</f>
        <v xml:space="preserve"> </v>
      </c>
      <c r="BD131" s="32"/>
      <c r="BE131" s="32"/>
      <c r="BF131" s="53"/>
      <c r="BG131" s="21" t="str">
        <f>IFERROR(VLOOKUP(April[[#This Row],[Drug Name9]],'Data Options'!$R$1:$S$100,2,FALSE), " ")</f>
        <v xml:space="preserve"> </v>
      </c>
      <c r="BH131" s="32"/>
      <c r="BI131" s="32"/>
    </row>
    <row r="132" spans="1:61">
      <c r="A132" s="5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53"/>
      <c r="Q132" s="21" t="str">
        <f>IFERROR(VLOOKUP(April[[#This Row],[Drug Name]],'Data Options'!$R$1:$S$100,2,FALSE), " ")</f>
        <v xml:space="preserve"> </v>
      </c>
      <c r="R132" s="32"/>
      <c r="S132" s="32"/>
      <c r="T132" s="53"/>
      <c r="U132" s="21" t="str">
        <f>IFERROR(VLOOKUP(April[[#This Row],[Drug Name2]],'Data Options'!$R$1:$S$100,2,FALSE), " ")</f>
        <v xml:space="preserve"> </v>
      </c>
      <c r="V132" s="32"/>
      <c r="W132" s="32"/>
      <c r="X132" s="53"/>
      <c r="Y132" s="21" t="str">
        <f>IFERROR(VLOOKUP(April[[#This Row],[Drug Name3]],'Data Options'!$R$1:$S$100,2,FALSE), " ")</f>
        <v xml:space="preserve"> </v>
      </c>
      <c r="Z132" s="32"/>
      <c r="AA132" s="32"/>
      <c r="AB132" s="32"/>
      <c r="AC132" s="32"/>
      <c r="AD132" s="32"/>
      <c r="AE132" s="31"/>
      <c r="AF132" s="31"/>
      <c r="AG132" s="53"/>
      <c r="AH132" s="21" t="str">
        <f>IFERROR(VLOOKUP(April[[#This Row],[Drug Name4]],'Data Options'!$R$1:$S$100,2,FALSE), " ")</f>
        <v xml:space="preserve"> </v>
      </c>
      <c r="AI132" s="32"/>
      <c r="AJ132" s="32"/>
      <c r="AK132" s="53"/>
      <c r="AL132" s="21" t="str">
        <f>IFERROR(VLOOKUP(April[[#This Row],[Drug Name5]],'Data Options'!$R$1:$S$100,2,FALSE), " ")</f>
        <v xml:space="preserve"> </v>
      </c>
      <c r="AM132" s="32"/>
      <c r="AN132" s="32"/>
      <c r="AO132" s="53"/>
      <c r="AP132" s="21" t="str">
        <f>IFERROR(VLOOKUP(April[[#This Row],[Drug Name6]],'Data Options'!$R$1:$S$100,2,FALSE), " ")</f>
        <v xml:space="preserve"> </v>
      </c>
      <c r="AQ132" s="32"/>
      <c r="AR132" s="32"/>
      <c r="AS132" s="32"/>
      <c r="AT132" s="32"/>
      <c r="AU132" s="32"/>
      <c r="AV132" s="31"/>
      <c r="AW132" s="31"/>
      <c r="AX132" s="53"/>
      <c r="AY132" s="21" t="str">
        <f>IFERROR(VLOOKUP(April[[#This Row],[Drug Name7]],'Data Options'!$R$1:$S$100,2,FALSE), " ")</f>
        <v xml:space="preserve"> </v>
      </c>
      <c r="AZ132" s="32"/>
      <c r="BA132" s="32"/>
      <c r="BB132" s="53"/>
      <c r="BC132" s="21" t="str">
        <f>IFERROR(VLOOKUP(April[[#This Row],[Drug Name8]],'Data Options'!$R$1:$S$100,2,FALSE), " ")</f>
        <v xml:space="preserve"> </v>
      </c>
      <c r="BD132" s="32"/>
      <c r="BE132" s="32"/>
      <c r="BF132" s="53"/>
      <c r="BG132" s="21" t="str">
        <f>IFERROR(VLOOKUP(April[[#This Row],[Drug Name9]],'Data Options'!$R$1:$S$100,2,FALSE), " ")</f>
        <v xml:space="preserve"> </v>
      </c>
      <c r="BH132" s="32"/>
      <c r="BI132" s="32"/>
    </row>
    <row r="133" spans="1:61">
      <c r="A133" s="5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53"/>
      <c r="Q133" s="21" t="str">
        <f>IFERROR(VLOOKUP(April[[#This Row],[Drug Name]],'Data Options'!$R$1:$S$100,2,FALSE), " ")</f>
        <v xml:space="preserve"> </v>
      </c>
      <c r="R133" s="32"/>
      <c r="S133" s="32"/>
      <c r="T133" s="53"/>
      <c r="U133" s="21" t="str">
        <f>IFERROR(VLOOKUP(April[[#This Row],[Drug Name2]],'Data Options'!$R$1:$S$100,2,FALSE), " ")</f>
        <v xml:space="preserve"> </v>
      </c>
      <c r="V133" s="32"/>
      <c r="W133" s="32"/>
      <c r="X133" s="53"/>
      <c r="Y133" s="21" t="str">
        <f>IFERROR(VLOOKUP(April[[#This Row],[Drug Name3]],'Data Options'!$R$1:$S$100,2,FALSE), " ")</f>
        <v xml:space="preserve"> </v>
      </c>
      <c r="Z133" s="32"/>
      <c r="AA133" s="32"/>
      <c r="AB133" s="32"/>
      <c r="AC133" s="32"/>
      <c r="AD133" s="32"/>
      <c r="AE133" s="31"/>
      <c r="AF133" s="31"/>
      <c r="AG133" s="53"/>
      <c r="AH133" s="21" t="str">
        <f>IFERROR(VLOOKUP(April[[#This Row],[Drug Name4]],'Data Options'!$R$1:$S$100,2,FALSE), " ")</f>
        <v xml:space="preserve"> </v>
      </c>
      <c r="AI133" s="32"/>
      <c r="AJ133" s="32"/>
      <c r="AK133" s="53"/>
      <c r="AL133" s="21" t="str">
        <f>IFERROR(VLOOKUP(April[[#This Row],[Drug Name5]],'Data Options'!$R$1:$S$100,2,FALSE), " ")</f>
        <v xml:space="preserve"> </v>
      </c>
      <c r="AM133" s="32"/>
      <c r="AN133" s="32"/>
      <c r="AO133" s="53"/>
      <c r="AP133" s="21" t="str">
        <f>IFERROR(VLOOKUP(April[[#This Row],[Drug Name6]],'Data Options'!$R$1:$S$100,2,FALSE), " ")</f>
        <v xml:space="preserve"> </v>
      </c>
      <c r="AQ133" s="32"/>
      <c r="AR133" s="32"/>
      <c r="AS133" s="32"/>
      <c r="AT133" s="32"/>
      <c r="AU133" s="32"/>
      <c r="AV133" s="31"/>
      <c r="AW133" s="31"/>
      <c r="AX133" s="53"/>
      <c r="AY133" s="21" t="str">
        <f>IFERROR(VLOOKUP(April[[#This Row],[Drug Name7]],'Data Options'!$R$1:$S$100,2,FALSE), " ")</f>
        <v xml:space="preserve"> </v>
      </c>
      <c r="AZ133" s="32"/>
      <c r="BA133" s="32"/>
      <c r="BB133" s="53"/>
      <c r="BC133" s="21" t="str">
        <f>IFERROR(VLOOKUP(April[[#This Row],[Drug Name8]],'Data Options'!$R$1:$S$100,2,FALSE), " ")</f>
        <v xml:space="preserve"> </v>
      </c>
      <c r="BD133" s="32"/>
      <c r="BE133" s="32"/>
      <c r="BF133" s="53"/>
      <c r="BG133" s="21" t="str">
        <f>IFERROR(VLOOKUP(April[[#This Row],[Drug Name9]],'Data Options'!$R$1:$S$100,2,FALSE), " ")</f>
        <v xml:space="preserve"> </v>
      </c>
      <c r="BH133" s="32"/>
      <c r="BI133" s="32"/>
    </row>
    <row r="134" spans="1:61">
      <c r="A134" s="5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53"/>
      <c r="Q134" s="21" t="str">
        <f>IFERROR(VLOOKUP(April[[#This Row],[Drug Name]],'Data Options'!$R$1:$S$100,2,FALSE), " ")</f>
        <v xml:space="preserve"> </v>
      </c>
      <c r="R134" s="32"/>
      <c r="S134" s="32"/>
      <c r="T134" s="53"/>
      <c r="U134" s="21" t="str">
        <f>IFERROR(VLOOKUP(April[[#This Row],[Drug Name2]],'Data Options'!$R$1:$S$100,2,FALSE), " ")</f>
        <v xml:space="preserve"> </v>
      </c>
      <c r="V134" s="32"/>
      <c r="W134" s="32"/>
      <c r="X134" s="53"/>
      <c r="Y134" s="21" t="str">
        <f>IFERROR(VLOOKUP(April[[#This Row],[Drug Name3]],'Data Options'!$R$1:$S$100,2,FALSE), " ")</f>
        <v xml:space="preserve"> </v>
      </c>
      <c r="Z134" s="32"/>
      <c r="AA134" s="32"/>
      <c r="AB134" s="32"/>
      <c r="AC134" s="32"/>
      <c r="AD134" s="32"/>
      <c r="AE134" s="31"/>
      <c r="AF134" s="31"/>
      <c r="AG134" s="53"/>
      <c r="AH134" s="21" t="str">
        <f>IFERROR(VLOOKUP(April[[#This Row],[Drug Name4]],'Data Options'!$R$1:$S$100,2,FALSE), " ")</f>
        <v xml:space="preserve"> </v>
      </c>
      <c r="AI134" s="32"/>
      <c r="AJ134" s="32"/>
      <c r="AK134" s="53"/>
      <c r="AL134" s="21" t="str">
        <f>IFERROR(VLOOKUP(April[[#This Row],[Drug Name5]],'Data Options'!$R$1:$S$100,2,FALSE), " ")</f>
        <v xml:space="preserve"> </v>
      </c>
      <c r="AM134" s="32"/>
      <c r="AN134" s="32"/>
      <c r="AO134" s="53"/>
      <c r="AP134" s="21" t="str">
        <f>IFERROR(VLOOKUP(April[[#This Row],[Drug Name6]],'Data Options'!$R$1:$S$100,2,FALSE), " ")</f>
        <v xml:space="preserve"> </v>
      </c>
      <c r="AQ134" s="32"/>
      <c r="AR134" s="32"/>
      <c r="AS134" s="32"/>
      <c r="AT134" s="32"/>
      <c r="AU134" s="32"/>
      <c r="AV134" s="31"/>
      <c r="AW134" s="31"/>
      <c r="AX134" s="53"/>
      <c r="AY134" s="21" t="str">
        <f>IFERROR(VLOOKUP(April[[#This Row],[Drug Name7]],'Data Options'!$R$1:$S$100,2,FALSE), " ")</f>
        <v xml:space="preserve"> </v>
      </c>
      <c r="AZ134" s="32"/>
      <c r="BA134" s="32"/>
      <c r="BB134" s="53"/>
      <c r="BC134" s="21" t="str">
        <f>IFERROR(VLOOKUP(April[[#This Row],[Drug Name8]],'Data Options'!$R$1:$S$100,2,FALSE), " ")</f>
        <v xml:space="preserve"> </v>
      </c>
      <c r="BD134" s="32"/>
      <c r="BE134" s="32"/>
      <c r="BF134" s="53"/>
      <c r="BG134" s="21" t="str">
        <f>IFERROR(VLOOKUP(April[[#This Row],[Drug Name9]],'Data Options'!$R$1:$S$100,2,FALSE), " ")</f>
        <v xml:space="preserve"> </v>
      </c>
      <c r="BH134" s="32"/>
      <c r="BI134" s="32"/>
    </row>
    <row r="135" spans="1:61">
      <c r="A135" s="5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53"/>
      <c r="Q135" s="21" t="str">
        <f>IFERROR(VLOOKUP(April[[#This Row],[Drug Name]],'Data Options'!$R$1:$S$100,2,FALSE), " ")</f>
        <v xml:space="preserve"> </v>
      </c>
      <c r="R135" s="32"/>
      <c r="S135" s="32"/>
      <c r="T135" s="53"/>
      <c r="U135" s="21" t="str">
        <f>IFERROR(VLOOKUP(April[[#This Row],[Drug Name2]],'Data Options'!$R$1:$S$100,2,FALSE), " ")</f>
        <v xml:space="preserve"> </v>
      </c>
      <c r="V135" s="32"/>
      <c r="W135" s="32"/>
      <c r="X135" s="53"/>
      <c r="Y135" s="21" t="str">
        <f>IFERROR(VLOOKUP(April[[#This Row],[Drug Name3]],'Data Options'!$R$1:$S$100,2,FALSE), " ")</f>
        <v xml:space="preserve"> </v>
      </c>
      <c r="Z135" s="32"/>
      <c r="AA135" s="32"/>
      <c r="AB135" s="32"/>
      <c r="AC135" s="32"/>
      <c r="AD135" s="32"/>
      <c r="AE135" s="31"/>
      <c r="AF135" s="31"/>
      <c r="AG135" s="53"/>
      <c r="AH135" s="21" t="str">
        <f>IFERROR(VLOOKUP(April[[#This Row],[Drug Name4]],'Data Options'!$R$1:$S$100,2,FALSE), " ")</f>
        <v xml:space="preserve"> </v>
      </c>
      <c r="AI135" s="32"/>
      <c r="AJ135" s="32"/>
      <c r="AK135" s="53"/>
      <c r="AL135" s="21" t="str">
        <f>IFERROR(VLOOKUP(April[[#This Row],[Drug Name5]],'Data Options'!$R$1:$S$100,2,FALSE), " ")</f>
        <v xml:space="preserve"> </v>
      </c>
      <c r="AM135" s="32"/>
      <c r="AN135" s="32"/>
      <c r="AO135" s="53"/>
      <c r="AP135" s="21" t="str">
        <f>IFERROR(VLOOKUP(April[[#This Row],[Drug Name6]],'Data Options'!$R$1:$S$100,2,FALSE), " ")</f>
        <v xml:space="preserve"> </v>
      </c>
      <c r="AQ135" s="32"/>
      <c r="AR135" s="32"/>
      <c r="AS135" s="32"/>
      <c r="AT135" s="32"/>
      <c r="AU135" s="32"/>
      <c r="AV135" s="31"/>
      <c r="AW135" s="31"/>
      <c r="AX135" s="53"/>
      <c r="AY135" s="21" t="str">
        <f>IFERROR(VLOOKUP(April[[#This Row],[Drug Name7]],'Data Options'!$R$1:$S$100,2,FALSE), " ")</f>
        <v xml:space="preserve"> </v>
      </c>
      <c r="AZ135" s="32"/>
      <c r="BA135" s="32"/>
      <c r="BB135" s="53"/>
      <c r="BC135" s="21" t="str">
        <f>IFERROR(VLOOKUP(April[[#This Row],[Drug Name8]],'Data Options'!$R$1:$S$100,2,FALSE), " ")</f>
        <v xml:space="preserve"> </v>
      </c>
      <c r="BD135" s="32"/>
      <c r="BE135" s="32"/>
      <c r="BF135" s="53"/>
      <c r="BG135" s="21" t="str">
        <f>IFERROR(VLOOKUP(April[[#This Row],[Drug Name9]],'Data Options'!$R$1:$S$100,2,FALSE), " ")</f>
        <v xml:space="preserve"> </v>
      </c>
      <c r="BH135" s="32"/>
      <c r="BI135" s="32"/>
    </row>
    <row r="136" spans="1:61">
      <c r="A136" s="5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53"/>
      <c r="Q136" s="21" t="str">
        <f>IFERROR(VLOOKUP(April[[#This Row],[Drug Name]],'Data Options'!$R$1:$S$100,2,FALSE), " ")</f>
        <v xml:space="preserve"> </v>
      </c>
      <c r="R136" s="32"/>
      <c r="S136" s="32"/>
      <c r="T136" s="53"/>
      <c r="U136" s="21" t="str">
        <f>IFERROR(VLOOKUP(April[[#This Row],[Drug Name2]],'Data Options'!$R$1:$S$100,2,FALSE), " ")</f>
        <v xml:space="preserve"> </v>
      </c>
      <c r="V136" s="32"/>
      <c r="W136" s="32"/>
      <c r="X136" s="53"/>
      <c r="Y136" s="21" t="str">
        <f>IFERROR(VLOOKUP(April[[#This Row],[Drug Name3]],'Data Options'!$R$1:$S$100,2,FALSE), " ")</f>
        <v xml:space="preserve"> </v>
      </c>
      <c r="Z136" s="32"/>
      <c r="AA136" s="32"/>
      <c r="AB136" s="32"/>
      <c r="AC136" s="32"/>
      <c r="AD136" s="32"/>
      <c r="AE136" s="31"/>
      <c r="AF136" s="31"/>
      <c r="AG136" s="53"/>
      <c r="AH136" s="21" t="str">
        <f>IFERROR(VLOOKUP(April[[#This Row],[Drug Name4]],'Data Options'!$R$1:$S$100,2,FALSE), " ")</f>
        <v xml:space="preserve"> </v>
      </c>
      <c r="AI136" s="32"/>
      <c r="AJ136" s="32"/>
      <c r="AK136" s="53"/>
      <c r="AL136" s="21" t="str">
        <f>IFERROR(VLOOKUP(April[[#This Row],[Drug Name5]],'Data Options'!$R$1:$S$100,2,FALSE), " ")</f>
        <v xml:space="preserve"> </v>
      </c>
      <c r="AM136" s="32"/>
      <c r="AN136" s="32"/>
      <c r="AO136" s="53"/>
      <c r="AP136" s="21" t="str">
        <f>IFERROR(VLOOKUP(April[[#This Row],[Drug Name6]],'Data Options'!$R$1:$S$100,2,FALSE), " ")</f>
        <v xml:space="preserve"> </v>
      </c>
      <c r="AQ136" s="32"/>
      <c r="AR136" s="32"/>
      <c r="AS136" s="32"/>
      <c r="AT136" s="32"/>
      <c r="AU136" s="32"/>
      <c r="AV136" s="31"/>
      <c r="AW136" s="31"/>
      <c r="AX136" s="53"/>
      <c r="AY136" s="21" t="str">
        <f>IFERROR(VLOOKUP(April[[#This Row],[Drug Name7]],'Data Options'!$R$1:$S$100,2,FALSE), " ")</f>
        <v xml:space="preserve"> </v>
      </c>
      <c r="AZ136" s="32"/>
      <c r="BA136" s="32"/>
      <c r="BB136" s="53"/>
      <c r="BC136" s="21" t="str">
        <f>IFERROR(VLOOKUP(April[[#This Row],[Drug Name8]],'Data Options'!$R$1:$S$100,2,FALSE), " ")</f>
        <v xml:space="preserve"> </v>
      </c>
      <c r="BD136" s="32"/>
      <c r="BE136" s="32"/>
      <c r="BF136" s="53"/>
      <c r="BG136" s="21" t="str">
        <f>IFERROR(VLOOKUP(April[[#This Row],[Drug Name9]],'Data Options'!$R$1:$S$100,2,FALSE), " ")</f>
        <v xml:space="preserve"> </v>
      </c>
      <c r="BH136" s="32"/>
      <c r="BI136" s="32"/>
    </row>
    <row r="137" spans="1:61">
      <c r="A137" s="5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53"/>
      <c r="Q137" s="21" t="str">
        <f>IFERROR(VLOOKUP(April[[#This Row],[Drug Name]],'Data Options'!$R$1:$S$100,2,FALSE), " ")</f>
        <v xml:space="preserve"> </v>
      </c>
      <c r="R137" s="32"/>
      <c r="S137" s="32"/>
      <c r="T137" s="53"/>
      <c r="U137" s="21" t="str">
        <f>IFERROR(VLOOKUP(April[[#This Row],[Drug Name2]],'Data Options'!$R$1:$S$100,2,FALSE), " ")</f>
        <v xml:space="preserve"> </v>
      </c>
      <c r="V137" s="32"/>
      <c r="W137" s="32"/>
      <c r="X137" s="53"/>
      <c r="Y137" s="21" t="str">
        <f>IFERROR(VLOOKUP(April[[#This Row],[Drug Name3]],'Data Options'!$R$1:$S$100,2,FALSE), " ")</f>
        <v xml:space="preserve"> </v>
      </c>
      <c r="Z137" s="32"/>
      <c r="AA137" s="32"/>
      <c r="AB137" s="32"/>
      <c r="AC137" s="32"/>
      <c r="AD137" s="32"/>
      <c r="AE137" s="31"/>
      <c r="AF137" s="31"/>
      <c r="AG137" s="53"/>
      <c r="AH137" s="21" t="str">
        <f>IFERROR(VLOOKUP(April[[#This Row],[Drug Name4]],'Data Options'!$R$1:$S$100,2,FALSE), " ")</f>
        <v xml:space="preserve"> </v>
      </c>
      <c r="AI137" s="32"/>
      <c r="AJ137" s="32"/>
      <c r="AK137" s="53"/>
      <c r="AL137" s="21" t="str">
        <f>IFERROR(VLOOKUP(April[[#This Row],[Drug Name5]],'Data Options'!$R$1:$S$100,2,FALSE), " ")</f>
        <v xml:space="preserve"> </v>
      </c>
      <c r="AM137" s="32"/>
      <c r="AN137" s="32"/>
      <c r="AO137" s="53"/>
      <c r="AP137" s="21" t="str">
        <f>IFERROR(VLOOKUP(April[[#This Row],[Drug Name6]],'Data Options'!$R$1:$S$100,2,FALSE), " ")</f>
        <v xml:space="preserve"> </v>
      </c>
      <c r="AQ137" s="32"/>
      <c r="AR137" s="32"/>
      <c r="AS137" s="32"/>
      <c r="AT137" s="32"/>
      <c r="AU137" s="32"/>
      <c r="AV137" s="31"/>
      <c r="AW137" s="31"/>
      <c r="AX137" s="53"/>
      <c r="AY137" s="21" t="str">
        <f>IFERROR(VLOOKUP(April[[#This Row],[Drug Name7]],'Data Options'!$R$1:$S$100,2,FALSE), " ")</f>
        <v xml:space="preserve"> </v>
      </c>
      <c r="AZ137" s="32"/>
      <c r="BA137" s="32"/>
      <c r="BB137" s="53"/>
      <c r="BC137" s="21" t="str">
        <f>IFERROR(VLOOKUP(April[[#This Row],[Drug Name8]],'Data Options'!$R$1:$S$100,2,FALSE), " ")</f>
        <v xml:space="preserve"> </v>
      </c>
      <c r="BD137" s="32"/>
      <c r="BE137" s="32"/>
      <c r="BF137" s="53"/>
      <c r="BG137" s="21" t="str">
        <f>IFERROR(VLOOKUP(April[[#This Row],[Drug Name9]],'Data Options'!$R$1:$S$100,2,FALSE), " ")</f>
        <v xml:space="preserve"> </v>
      </c>
      <c r="BH137" s="32"/>
      <c r="BI137" s="32"/>
    </row>
    <row r="138" spans="1:61">
      <c r="A138" s="5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53"/>
      <c r="Q138" s="21" t="str">
        <f>IFERROR(VLOOKUP(April[[#This Row],[Drug Name]],'Data Options'!$R$1:$S$100,2,FALSE), " ")</f>
        <v xml:space="preserve"> </v>
      </c>
      <c r="R138" s="32"/>
      <c r="S138" s="32"/>
      <c r="T138" s="53"/>
      <c r="U138" s="21" t="str">
        <f>IFERROR(VLOOKUP(April[[#This Row],[Drug Name2]],'Data Options'!$R$1:$S$100,2,FALSE), " ")</f>
        <v xml:space="preserve"> </v>
      </c>
      <c r="V138" s="32"/>
      <c r="W138" s="32"/>
      <c r="X138" s="53"/>
      <c r="Y138" s="21" t="str">
        <f>IFERROR(VLOOKUP(April[[#This Row],[Drug Name3]],'Data Options'!$R$1:$S$100,2,FALSE), " ")</f>
        <v xml:space="preserve"> </v>
      </c>
      <c r="Z138" s="32"/>
      <c r="AA138" s="32"/>
      <c r="AB138" s="32"/>
      <c r="AC138" s="32"/>
      <c r="AD138" s="32"/>
      <c r="AE138" s="31"/>
      <c r="AF138" s="31"/>
      <c r="AG138" s="53"/>
      <c r="AH138" s="21" t="str">
        <f>IFERROR(VLOOKUP(April[[#This Row],[Drug Name4]],'Data Options'!$R$1:$S$100,2,FALSE), " ")</f>
        <v xml:space="preserve"> </v>
      </c>
      <c r="AI138" s="32"/>
      <c r="AJ138" s="32"/>
      <c r="AK138" s="53"/>
      <c r="AL138" s="21" t="str">
        <f>IFERROR(VLOOKUP(April[[#This Row],[Drug Name5]],'Data Options'!$R$1:$S$100,2,FALSE), " ")</f>
        <v xml:space="preserve"> </v>
      </c>
      <c r="AM138" s="32"/>
      <c r="AN138" s="32"/>
      <c r="AO138" s="53"/>
      <c r="AP138" s="21" t="str">
        <f>IFERROR(VLOOKUP(April[[#This Row],[Drug Name6]],'Data Options'!$R$1:$S$100,2,FALSE), " ")</f>
        <v xml:space="preserve"> </v>
      </c>
      <c r="AQ138" s="32"/>
      <c r="AR138" s="32"/>
      <c r="AS138" s="32"/>
      <c r="AT138" s="32"/>
      <c r="AU138" s="32"/>
      <c r="AV138" s="31"/>
      <c r="AW138" s="31"/>
      <c r="AX138" s="53"/>
      <c r="AY138" s="21" t="str">
        <f>IFERROR(VLOOKUP(April[[#This Row],[Drug Name7]],'Data Options'!$R$1:$S$100,2,FALSE), " ")</f>
        <v xml:space="preserve"> </v>
      </c>
      <c r="AZ138" s="32"/>
      <c r="BA138" s="32"/>
      <c r="BB138" s="53"/>
      <c r="BC138" s="21" t="str">
        <f>IFERROR(VLOOKUP(April[[#This Row],[Drug Name8]],'Data Options'!$R$1:$S$100,2,FALSE), " ")</f>
        <v xml:space="preserve"> </v>
      </c>
      <c r="BD138" s="32"/>
      <c r="BE138" s="32"/>
      <c r="BF138" s="53"/>
      <c r="BG138" s="21" t="str">
        <f>IFERROR(VLOOKUP(April[[#This Row],[Drug Name9]],'Data Options'!$R$1:$S$100,2,FALSE), " ")</f>
        <v xml:space="preserve"> </v>
      </c>
      <c r="BH138" s="32"/>
      <c r="BI138" s="32"/>
    </row>
    <row r="139" spans="1:61">
      <c r="A139" s="5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53"/>
      <c r="Q139" s="21" t="str">
        <f>IFERROR(VLOOKUP(April[[#This Row],[Drug Name]],'Data Options'!$R$1:$S$100,2,FALSE), " ")</f>
        <v xml:space="preserve"> </v>
      </c>
      <c r="R139" s="32"/>
      <c r="S139" s="32"/>
      <c r="T139" s="53"/>
      <c r="U139" s="21" t="str">
        <f>IFERROR(VLOOKUP(April[[#This Row],[Drug Name2]],'Data Options'!$R$1:$S$100,2,FALSE), " ")</f>
        <v xml:space="preserve"> </v>
      </c>
      <c r="V139" s="32"/>
      <c r="W139" s="32"/>
      <c r="X139" s="53"/>
      <c r="Y139" s="21" t="str">
        <f>IFERROR(VLOOKUP(April[[#This Row],[Drug Name3]],'Data Options'!$R$1:$S$100,2,FALSE), " ")</f>
        <v xml:space="preserve"> </v>
      </c>
      <c r="Z139" s="32"/>
      <c r="AA139" s="32"/>
      <c r="AB139" s="32"/>
      <c r="AC139" s="32"/>
      <c r="AD139" s="32"/>
      <c r="AE139" s="31"/>
      <c r="AF139" s="31"/>
      <c r="AG139" s="53"/>
      <c r="AH139" s="21" t="str">
        <f>IFERROR(VLOOKUP(April[[#This Row],[Drug Name4]],'Data Options'!$R$1:$S$100,2,FALSE), " ")</f>
        <v xml:space="preserve"> </v>
      </c>
      <c r="AI139" s="32"/>
      <c r="AJ139" s="32"/>
      <c r="AK139" s="53"/>
      <c r="AL139" s="21" t="str">
        <f>IFERROR(VLOOKUP(April[[#This Row],[Drug Name5]],'Data Options'!$R$1:$S$100,2,FALSE), " ")</f>
        <v xml:space="preserve"> </v>
      </c>
      <c r="AM139" s="32"/>
      <c r="AN139" s="32"/>
      <c r="AO139" s="53"/>
      <c r="AP139" s="21" t="str">
        <f>IFERROR(VLOOKUP(April[[#This Row],[Drug Name6]],'Data Options'!$R$1:$S$100,2,FALSE), " ")</f>
        <v xml:space="preserve"> </v>
      </c>
      <c r="AQ139" s="32"/>
      <c r="AR139" s="32"/>
      <c r="AS139" s="32"/>
      <c r="AT139" s="32"/>
      <c r="AU139" s="32"/>
      <c r="AV139" s="31"/>
      <c r="AW139" s="31"/>
      <c r="AX139" s="53"/>
      <c r="AY139" s="21" t="str">
        <f>IFERROR(VLOOKUP(April[[#This Row],[Drug Name7]],'Data Options'!$R$1:$S$100,2,FALSE), " ")</f>
        <v xml:space="preserve"> </v>
      </c>
      <c r="AZ139" s="32"/>
      <c r="BA139" s="32"/>
      <c r="BB139" s="53"/>
      <c r="BC139" s="21" t="str">
        <f>IFERROR(VLOOKUP(April[[#This Row],[Drug Name8]],'Data Options'!$R$1:$S$100,2,FALSE), " ")</f>
        <v xml:space="preserve"> </v>
      </c>
      <c r="BD139" s="32"/>
      <c r="BE139" s="32"/>
      <c r="BF139" s="53"/>
      <c r="BG139" s="21" t="str">
        <f>IFERROR(VLOOKUP(April[[#This Row],[Drug Name9]],'Data Options'!$R$1:$S$100,2,FALSE), " ")</f>
        <v xml:space="preserve"> </v>
      </c>
      <c r="BH139" s="32"/>
      <c r="BI139" s="32"/>
    </row>
    <row r="140" spans="1:61">
      <c r="A140" s="5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53"/>
      <c r="Q140" s="21" t="str">
        <f>IFERROR(VLOOKUP(April[[#This Row],[Drug Name]],'Data Options'!$R$1:$S$100,2,FALSE), " ")</f>
        <v xml:space="preserve"> </v>
      </c>
      <c r="R140" s="32"/>
      <c r="S140" s="32"/>
      <c r="T140" s="53"/>
      <c r="U140" s="21" t="str">
        <f>IFERROR(VLOOKUP(April[[#This Row],[Drug Name2]],'Data Options'!$R$1:$S$100,2,FALSE), " ")</f>
        <v xml:space="preserve"> </v>
      </c>
      <c r="V140" s="32"/>
      <c r="W140" s="32"/>
      <c r="X140" s="53"/>
      <c r="Y140" s="21" t="str">
        <f>IFERROR(VLOOKUP(April[[#This Row],[Drug Name3]],'Data Options'!$R$1:$S$100,2,FALSE), " ")</f>
        <v xml:space="preserve"> </v>
      </c>
      <c r="Z140" s="32"/>
      <c r="AA140" s="32"/>
      <c r="AB140" s="32"/>
      <c r="AC140" s="32"/>
      <c r="AD140" s="32"/>
      <c r="AE140" s="31"/>
      <c r="AF140" s="31"/>
      <c r="AG140" s="53"/>
      <c r="AH140" s="21" t="str">
        <f>IFERROR(VLOOKUP(April[[#This Row],[Drug Name4]],'Data Options'!$R$1:$S$100,2,FALSE), " ")</f>
        <v xml:space="preserve"> </v>
      </c>
      <c r="AI140" s="32"/>
      <c r="AJ140" s="32"/>
      <c r="AK140" s="53"/>
      <c r="AL140" s="21" t="str">
        <f>IFERROR(VLOOKUP(April[[#This Row],[Drug Name5]],'Data Options'!$R$1:$S$100,2,FALSE), " ")</f>
        <v xml:space="preserve"> </v>
      </c>
      <c r="AM140" s="32"/>
      <c r="AN140" s="32"/>
      <c r="AO140" s="53"/>
      <c r="AP140" s="21" t="str">
        <f>IFERROR(VLOOKUP(April[[#This Row],[Drug Name6]],'Data Options'!$R$1:$S$100,2,FALSE), " ")</f>
        <v xml:space="preserve"> </v>
      </c>
      <c r="AQ140" s="32"/>
      <c r="AR140" s="32"/>
      <c r="AS140" s="32"/>
      <c r="AT140" s="32"/>
      <c r="AU140" s="32"/>
      <c r="AV140" s="31"/>
      <c r="AW140" s="31"/>
      <c r="AX140" s="53"/>
      <c r="AY140" s="21" t="str">
        <f>IFERROR(VLOOKUP(April[[#This Row],[Drug Name7]],'Data Options'!$R$1:$S$100,2,FALSE), " ")</f>
        <v xml:space="preserve"> </v>
      </c>
      <c r="AZ140" s="32"/>
      <c r="BA140" s="32"/>
      <c r="BB140" s="53"/>
      <c r="BC140" s="21" t="str">
        <f>IFERROR(VLOOKUP(April[[#This Row],[Drug Name8]],'Data Options'!$R$1:$S$100,2,FALSE), " ")</f>
        <v xml:space="preserve"> </v>
      </c>
      <c r="BD140" s="32"/>
      <c r="BE140" s="32"/>
      <c r="BF140" s="53"/>
      <c r="BG140" s="21" t="str">
        <f>IFERROR(VLOOKUP(April[[#This Row],[Drug Name9]],'Data Options'!$R$1:$S$100,2,FALSE), " ")</f>
        <v xml:space="preserve"> </v>
      </c>
      <c r="BH140" s="32"/>
      <c r="BI140" s="32"/>
    </row>
    <row r="141" spans="1:61">
      <c r="A141" s="5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53"/>
      <c r="Q141" s="21" t="str">
        <f>IFERROR(VLOOKUP(April[[#This Row],[Drug Name]],'Data Options'!$R$1:$S$100,2,FALSE), " ")</f>
        <v xml:space="preserve"> </v>
      </c>
      <c r="R141" s="32"/>
      <c r="S141" s="32"/>
      <c r="T141" s="53"/>
      <c r="U141" s="21" t="str">
        <f>IFERROR(VLOOKUP(April[[#This Row],[Drug Name2]],'Data Options'!$R$1:$S$100,2,FALSE), " ")</f>
        <v xml:space="preserve"> </v>
      </c>
      <c r="V141" s="32"/>
      <c r="W141" s="32"/>
      <c r="X141" s="53"/>
      <c r="Y141" s="21" t="str">
        <f>IFERROR(VLOOKUP(April[[#This Row],[Drug Name3]],'Data Options'!$R$1:$S$100,2,FALSE), " ")</f>
        <v xml:space="preserve"> </v>
      </c>
      <c r="Z141" s="32"/>
      <c r="AA141" s="32"/>
      <c r="AB141" s="32"/>
      <c r="AC141" s="32"/>
      <c r="AD141" s="32"/>
      <c r="AE141" s="31"/>
      <c r="AF141" s="31"/>
      <c r="AG141" s="53"/>
      <c r="AH141" s="21" t="str">
        <f>IFERROR(VLOOKUP(April[[#This Row],[Drug Name4]],'Data Options'!$R$1:$S$100,2,FALSE), " ")</f>
        <v xml:space="preserve"> </v>
      </c>
      <c r="AI141" s="32"/>
      <c r="AJ141" s="32"/>
      <c r="AK141" s="53"/>
      <c r="AL141" s="21" t="str">
        <f>IFERROR(VLOOKUP(April[[#This Row],[Drug Name5]],'Data Options'!$R$1:$S$100,2,FALSE), " ")</f>
        <v xml:space="preserve"> </v>
      </c>
      <c r="AM141" s="32"/>
      <c r="AN141" s="32"/>
      <c r="AO141" s="53"/>
      <c r="AP141" s="21" t="str">
        <f>IFERROR(VLOOKUP(April[[#This Row],[Drug Name6]],'Data Options'!$R$1:$S$100,2,FALSE), " ")</f>
        <v xml:space="preserve"> </v>
      </c>
      <c r="AQ141" s="32"/>
      <c r="AR141" s="32"/>
      <c r="AS141" s="32"/>
      <c r="AT141" s="32"/>
      <c r="AU141" s="32"/>
      <c r="AV141" s="31"/>
      <c r="AW141" s="31"/>
      <c r="AX141" s="53"/>
      <c r="AY141" s="21" t="str">
        <f>IFERROR(VLOOKUP(April[[#This Row],[Drug Name7]],'Data Options'!$R$1:$S$100,2,FALSE), " ")</f>
        <v xml:space="preserve"> </v>
      </c>
      <c r="AZ141" s="32"/>
      <c r="BA141" s="32"/>
      <c r="BB141" s="53"/>
      <c r="BC141" s="21" t="str">
        <f>IFERROR(VLOOKUP(April[[#This Row],[Drug Name8]],'Data Options'!$R$1:$S$100,2,FALSE), " ")</f>
        <v xml:space="preserve"> </v>
      </c>
      <c r="BD141" s="32"/>
      <c r="BE141" s="32"/>
      <c r="BF141" s="53"/>
      <c r="BG141" s="21" t="str">
        <f>IFERROR(VLOOKUP(April[[#This Row],[Drug Name9]],'Data Options'!$R$1:$S$100,2,FALSE), " ")</f>
        <v xml:space="preserve"> </v>
      </c>
      <c r="BH141" s="32"/>
      <c r="BI141" s="32"/>
    </row>
    <row r="142" spans="1:61">
      <c r="A142" s="5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53"/>
      <c r="Q142" s="21" t="str">
        <f>IFERROR(VLOOKUP(April[[#This Row],[Drug Name]],'Data Options'!$R$1:$S$100,2,FALSE), " ")</f>
        <v xml:space="preserve"> </v>
      </c>
      <c r="R142" s="32"/>
      <c r="S142" s="32"/>
      <c r="T142" s="53"/>
      <c r="U142" s="21" t="str">
        <f>IFERROR(VLOOKUP(April[[#This Row],[Drug Name2]],'Data Options'!$R$1:$S$100,2,FALSE), " ")</f>
        <v xml:space="preserve"> </v>
      </c>
      <c r="V142" s="32"/>
      <c r="W142" s="32"/>
      <c r="X142" s="53"/>
      <c r="Y142" s="21" t="str">
        <f>IFERROR(VLOOKUP(April[[#This Row],[Drug Name3]],'Data Options'!$R$1:$S$100,2,FALSE), " ")</f>
        <v xml:space="preserve"> </v>
      </c>
      <c r="Z142" s="32"/>
      <c r="AA142" s="32"/>
      <c r="AB142" s="32"/>
      <c r="AC142" s="32"/>
      <c r="AD142" s="32"/>
      <c r="AE142" s="31"/>
      <c r="AF142" s="31"/>
      <c r="AG142" s="53"/>
      <c r="AH142" s="21" t="str">
        <f>IFERROR(VLOOKUP(April[[#This Row],[Drug Name4]],'Data Options'!$R$1:$S$100,2,FALSE), " ")</f>
        <v xml:space="preserve"> </v>
      </c>
      <c r="AI142" s="32"/>
      <c r="AJ142" s="32"/>
      <c r="AK142" s="53"/>
      <c r="AL142" s="21" t="str">
        <f>IFERROR(VLOOKUP(April[[#This Row],[Drug Name5]],'Data Options'!$R$1:$S$100,2,FALSE), " ")</f>
        <v xml:space="preserve"> </v>
      </c>
      <c r="AM142" s="32"/>
      <c r="AN142" s="32"/>
      <c r="AO142" s="53"/>
      <c r="AP142" s="21" t="str">
        <f>IFERROR(VLOOKUP(April[[#This Row],[Drug Name6]],'Data Options'!$R$1:$S$100,2,FALSE), " ")</f>
        <v xml:space="preserve"> </v>
      </c>
      <c r="AQ142" s="32"/>
      <c r="AR142" s="32"/>
      <c r="AS142" s="32"/>
      <c r="AT142" s="32"/>
      <c r="AU142" s="32"/>
      <c r="AV142" s="31"/>
      <c r="AW142" s="31"/>
      <c r="AX142" s="53"/>
      <c r="AY142" s="21" t="str">
        <f>IFERROR(VLOOKUP(April[[#This Row],[Drug Name7]],'Data Options'!$R$1:$S$100,2,FALSE), " ")</f>
        <v xml:space="preserve"> </v>
      </c>
      <c r="AZ142" s="32"/>
      <c r="BA142" s="32"/>
      <c r="BB142" s="53"/>
      <c r="BC142" s="21" t="str">
        <f>IFERROR(VLOOKUP(April[[#This Row],[Drug Name8]],'Data Options'!$R$1:$S$100,2,FALSE), " ")</f>
        <v xml:space="preserve"> </v>
      </c>
      <c r="BD142" s="32"/>
      <c r="BE142" s="32"/>
      <c r="BF142" s="53"/>
      <c r="BG142" s="21" t="str">
        <f>IFERROR(VLOOKUP(April[[#This Row],[Drug Name9]],'Data Options'!$R$1:$S$100,2,FALSE), " ")</f>
        <v xml:space="preserve"> </v>
      </c>
      <c r="BH142" s="32"/>
      <c r="BI142" s="32"/>
    </row>
    <row r="143" spans="1:61">
      <c r="A143" s="5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53"/>
      <c r="Q143" s="21" t="str">
        <f>IFERROR(VLOOKUP(April[[#This Row],[Drug Name]],'Data Options'!$R$1:$S$100,2,FALSE), " ")</f>
        <v xml:space="preserve"> </v>
      </c>
      <c r="R143" s="32"/>
      <c r="S143" s="32"/>
      <c r="T143" s="53"/>
      <c r="U143" s="21" t="str">
        <f>IFERROR(VLOOKUP(April[[#This Row],[Drug Name2]],'Data Options'!$R$1:$S$100,2,FALSE), " ")</f>
        <v xml:space="preserve"> </v>
      </c>
      <c r="V143" s="32"/>
      <c r="W143" s="32"/>
      <c r="X143" s="53"/>
      <c r="Y143" s="21" t="str">
        <f>IFERROR(VLOOKUP(April[[#This Row],[Drug Name3]],'Data Options'!$R$1:$S$100,2,FALSE), " ")</f>
        <v xml:space="preserve"> </v>
      </c>
      <c r="Z143" s="32"/>
      <c r="AA143" s="32"/>
      <c r="AB143" s="32"/>
      <c r="AC143" s="32"/>
      <c r="AD143" s="32"/>
      <c r="AE143" s="31"/>
      <c r="AF143" s="31"/>
      <c r="AG143" s="53"/>
      <c r="AH143" s="21" t="str">
        <f>IFERROR(VLOOKUP(April[[#This Row],[Drug Name4]],'Data Options'!$R$1:$S$100,2,FALSE), " ")</f>
        <v xml:space="preserve"> </v>
      </c>
      <c r="AI143" s="32"/>
      <c r="AJ143" s="32"/>
      <c r="AK143" s="53"/>
      <c r="AL143" s="21" t="str">
        <f>IFERROR(VLOOKUP(April[[#This Row],[Drug Name5]],'Data Options'!$R$1:$S$100,2,FALSE), " ")</f>
        <v xml:space="preserve"> </v>
      </c>
      <c r="AM143" s="32"/>
      <c r="AN143" s="32"/>
      <c r="AO143" s="53"/>
      <c r="AP143" s="21" t="str">
        <f>IFERROR(VLOOKUP(April[[#This Row],[Drug Name6]],'Data Options'!$R$1:$S$100,2,FALSE), " ")</f>
        <v xml:space="preserve"> </v>
      </c>
      <c r="AQ143" s="32"/>
      <c r="AR143" s="32"/>
      <c r="AS143" s="32"/>
      <c r="AT143" s="32"/>
      <c r="AU143" s="32"/>
      <c r="AV143" s="31"/>
      <c r="AW143" s="31"/>
      <c r="AX143" s="53"/>
      <c r="AY143" s="21" t="str">
        <f>IFERROR(VLOOKUP(April[[#This Row],[Drug Name7]],'Data Options'!$R$1:$S$100,2,FALSE), " ")</f>
        <v xml:space="preserve"> </v>
      </c>
      <c r="AZ143" s="32"/>
      <c r="BA143" s="32"/>
      <c r="BB143" s="53"/>
      <c r="BC143" s="21" t="str">
        <f>IFERROR(VLOOKUP(April[[#This Row],[Drug Name8]],'Data Options'!$R$1:$S$100,2,FALSE), " ")</f>
        <v xml:space="preserve"> </v>
      </c>
      <c r="BD143" s="32"/>
      <c r="BE143" s="32"/>
      <c r="BF143" s="53"/>
      <c r="BG143" s="21" t="str">
        <f>IFERROR(VLOOKUP(April[[#This Row],[Drug Name9]],'Data Options'!$R$1:$S$100,2,FALSE), " ")</f>
        <v xml:space="preserve"> </v>
      </c>
      <c r="BH143" s="32"/>
      <c r="BI143" s="32"/>
    </row>
    <row r="144" spans="1:61">
      <c r="A144" s="5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53"/>
      <c r="Q144" s="21" t="str">
        <f>IFERROR(VLOOKUP(April[[#This Row],[Drug Name]],'Data Options'!$R$1:$S$100,2,FALSE), " ")</f>
        <v xml:space="preserve"> </v>
      </c>
      <c r="R144" s="32"/>
      <c r="S144" s="32"/>
      <c r="T144" s="53"/>
      <c r="U144" s="21" t="str">
        <f>IFERROR(VLOOKUP(April[[#This Row],[Drug Name2]],'Data Options'!$R$1:$S$100,2,FALSE), " ")</f>
        <v xml:space="preserve"> </v>
      </c>
      <c r="V144" s="32"/>
      <c r="W144" s="32"/>
      <c r="X144" s="53"/>
      <c r="Y144" s="21" t="str">
        <f>IFERROR(VLOOKUP(April[[#This Row],[Drug Name3]],'Data Options'!$R$1:$S$100,2,FALSE), " ")</f>
        <v xml:space="preserve"> </v>
      </c>
      <c r="Z144" s="32"/>
      <c r="AA144" s="32"/>
      <c r="AB144" s="32"/>
      <c r="AC144" s="32"/>
      <c r="AD144" s="32"/>
      <c r="AE144" s="31"/>
      <c r="AF144" s="31"/>
      <c r="AG144" s="53"/>
      <c r="AH144" s="21" t="str">
        <f>IFERROR(VLOOKUP(April[[#This Row],[Drug Name4]],'Data Options'!$R$1:$S$100,2,FALSE), " ")</f>
        <v xml:space="preserve"> </v>
      </c>
      <c r="AI144" s="32"/>
      <c r="AJ144" s="32"/>
      <c r="AK144" s="53"/>
      <c r="AL144" s="21" t="str">
        <f>IFERROR(VLOOKUP(April[[#This Row],[Drug Name5]],'Data Options'!$R$1:$S$100,2,FALSE), " ")</f>
        <v xml:space="preserve"> </v>
      </c>
      <c r="AM144" s="32"/>
      <c r="AN144" s="32"/>
      <c r="AO144" s="53"/>
      <c r="AP144" s="21" t="str">
        <f>IFERROR(VLOOKUP(April[[#This Row],[Drug Name6]],'Data Options'!$R$1:$S$100,2,FALSE), " ")</f>
        <v xml:space="preserve"> </v>
      </c>
      <c r="AQ144" s="32"/>
      <c r="AR144" s="32"/>
      <c r="AS144" s="32"/>
      <c r="AT144" s="32"/>
      <c r="AU144" s="32"/>
      <c r="AV144" s="31"/>
      <c r="AW144" s="31"/>
      <c r="AX144" s="53"/>
      <c r="AY144" s="21" t="str">
        <f>IFERROR(VLOOKUP(April[[#This Row],[Drug Name7]],'Data Options'!$R$1:$S$100,2,FALSE), " ")</f>
        <v xml:space="preserve"> </v>
      </c>
      <c r="AZ144" s="32"/>
      <c r="BA144" s="32"/>
      <c r="BB144" s="53"/>
      <c r="BC144" s="21" t="str">
        <f>IFERROR(VLOOKUP(April[[#This Row],[Drug Name8]],'Data Options'!$R$1:$S$100,2,FALSE), " ")</f>
        <v xml:space="preserve"> </v>
      </c>
      <c r="BD144" s="32"/>
      <c r="BE144" s="32"/>
      <c r="BF144" s="53"/>
      <c r="BG144" s="21" t="str">
        <f>IFERROR(VLOOKUP(April[[#This Row],[Drug Name9]],'Data Options'!$R$1:$S$100,2,FALSE), " ")</f>
        <v xml:space="preserve"> </v>
      </c>
      <c r="BH144" s="32"/>
      <c r="BI144" s="32"/>
    </row>
    <row r="145" spans="1:61">
      <c r="A145" s="5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53"/>
      <c r="Q145" s="21" t="str">
        <f>IFERROR(VLOOKUP(April[[#This Row],[Drug Name]],'Data Options'!$R$1:$S$100,2,FALSE), " ")</f>
        <v xml:space="preserve"> </v>
      </c>
      <c r="R145" s="32"/>
      <c r="S145" s="32"/>
      <c r="T145" s="53"/>
      <c r="U145" s="21" t="str">
        <f>IFERROR(VLOOKUP(April[[#This Row],[Drug Name2]],'Data Options'!$R$1:$S$100,2,FALSE), " ")</f>
        <v xml:space="preserve"> </v>
      </c>
      <c r="V145" s="32"/>
      <c r="W145" s="32"/>
      <c r="X145" s="53"/>
      <c r="Y145" s="21" t="str">
        <f>IFERROR(VLOOKUP(April[[#This Row],[Drug Name3]],'Data Options'!$R$1:$S$100,2,FALSE), " ")</f>
        <v xml:space="preserve"> </v>
      </c>
      <c r="Z145" s="32"/>
      <c r="AA145" s="32"/>
      <c r="AB145" s="32"/>
      <c r="AC145" s="32"/>
      <c r="AD145" s="32"/>
      <c r="AE145" s="31"/>
      <c r="AF145" s="31"/>
      <c r="AG145" s="53"/>
      <c r="AH145" s="21" t="str">
        <f>IFERROR(VLOOKUP(April[[#This Row],[Drug Name4]],'Data Options'!$R$1:$S$100,2,FALSE), " ")</f>
        <v xml:space="preserve"> </v>
      </c>
      <c r="AI145" s="32"/>
      <c r="AJ145" s="32"/>
      <c r="AK145" s="53"/>
      <c r="AL145" s="21" t="str">
        <f>IFERROR(VLOOKUP(April[[#This Row],[Drug Name5]],'Data Options'!$R$1:$S$100,2,FALSE), " ")</f>
        <v xml:space="preserve"> </v>
      </c>
      <c r="AM145" s="32"/>
      <c r="AN145" s="32"/>
      <c r="AO145" s="53"/>
      <c r="AP145" s="21" t="str">
        <f>IFERROR(VLOOKUP(April[[#This Row],[Drug Name6]],'Data Options'!$R$1:$S$100,2,FALSE), " ")</f>
        <v xml:space="preserve"> </v>
      </c>
      <c r="AQ145" s="32"/>
      <c r="AR145" s="32"/>
      <c r="AS145" s="32"/>
      <c r="AT145" s="32"/>
      <c r="AU145" s="32"/>
      <c r="AV145" s="31"/>
      <c r="AW145" s="31"/>
      <c r="AX145" s="53"/>
      <c r="AY145" s="21" t="str">
        <f>IFERROR(VLOOKUP(April[[#This Row],[Drug Name7]],'Data Options'!$R$1:$S$100,2,FALSE), " ")</f>
        <v xml:space="preserve"> </v>
      </c>
      <c r="AZ145" s="32"/>
      <c r="BA145" s="32"/>
      <c r="BB145" s="53"/>
      <c r="BC145" s="21" t="str">
        <f>IFERROR(VLOOKUP(April[[#This Row],[Drug Name8]],'Data Options'!$R$1:$S$100,2,FALSE), " ")</f>
        <v xml:space="preserve"> </v>
      </c>
      <c r="BD145" s="32"/>
      <c r="BE145" s="32"/>
      <c r="BF145" s="53"/>
      <c r="BG145" s="21" t="str">
        <f>IFERROR(VLOOKUP(April[[#This Row],[Drug Name9]],'Data Options'!$R$1:$S$100,2,FALSE), " ")</f>
        <v xml:space="preserve"> </v>
      </c>
      <c r="BH145" s="32"/>
      <c r="BI145" s="32"/>
    </row>
    <row r="146" spans="1:61">
      <c r="A146" s="5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53"/>
      <c r="Q146" s="21" t="str">
        <f>IFERROR(VLOOKUP(April[[#This Row],[Drug Name]],'Data Options'!$R$1:$S$100,2,FALSE), " ")</f>
        <v xml:space="preserve"> </v>
      </c>
      <c r="R146" s="32"/>
      <c r="S146" s="32"/>
      <c r="T146" s="53"/>
      <c r="U146" s="21" t="str">
        <f>IFERROR(VLOOKUP(April[[#This Row],[Drug Name2]],'Data Options'!$R$1:$S$100,2,FALSE), " ")</f>
        <v xml:space="preserve"> </v>
      </c>
      <c r="V146" s="32"/>
      <c r="W146" s="32"/>
      <c r="X146" s="53"/>
      <c r="Y146" s="21" t="str">
        <f>IFERROR(VLOOKUP(April[[#This Row],[Drug Name3]],'Data Options'!$R$1:$S$100,2,FALSE), " ")</f>
        <v xml:space="preserve"> </v>
      </c>
      <c r="Z146" s="32"/>
      <c r="AA146" s="32"/>
      <c r="AB146" s="32"/>
      <c r="AC146" s="32"/>
      <c r="AD146" s="32"/>
      <c r="AE146" s="31"/>
      <c r="AF146" s="31"/>
      <c r="AG146" s="53"/>
      <c r="AH146" s="21" t="str">
        <f>IFERROR(VLOOKUP(April[[#This Row],[Drug Name4]],'Data Options'!$R$1:$S$100,2,FALSE), " ")</f>
        <v xml:space="preserve"> </v>
      </c>
      <c r="AI146" s="32"/>
      <c r="AJ146" s="32"/>
      <c r="AK146" s="53"/>
      <c r="AL146" s="21" t="str">
        <f>IFERROR(VLOOKUP(April[[#This Row],[Drug Name5]],'Data Options'!$R$1:$S$100,2,FALSE), " ")</f>
        <v xml:space="preserve"> </v>
      </c>
      <c r="AM146" s="32"/>
      <c r="AN146" s="32"/>
      <c r="AO146" s="53"/>
      <c r="AP146" s="21" t="str">
        <f>IFERROR(VLOOKUP(April[[#This Row],[Drug Name6]],'Data Options'!$R$1:$S$100,2,FALSE), " ")</f>
        <v xml:space="preserve"> </v>
      </c>
      <c r="AQ146" s="32"/>
      <c r="AR146" s="32"/>
      <c r="AS146" s="32"/>
      <c r="AT146" s="32"/>
      <c r="AU146" s="32"/>
      <c r="AV146" s="31"/>
      <c r="AW146" s="31"/>
      <c r="AX146" s="53"/>
      <c r="AY146" s="21" t="str">
        <f>IFERROR(VLOOKUP(April[[#This Row],[Drug Name7]],'Data Options'!$R$1:$S$100,2,FALSE), " ")</f>
        <v xml:space="preserve"> </v>
      </c>
      <c r="AZ146" s="32"/>
      <c r="BA146" s="32"/>
      <c r="BB146" s="53"/>
      <c r="BC146" s="21" t="str">
        <f>IFERROR(VLOOKUP(April[[#This Row],[Drug Name8]],'Data Options'!$R$1:$S$100,2,FALSE), " ")</f>
        <v xml:space="preserve"> </v>
      </c>
      <c r="BD146" s="32"/>
      <c r="BE146" s="32"/>
      <c r="BF146" s="53"/>
      <c r="BG146" s="21" t="str">
        <f>IFERROR(VLOOKUP(April[[#This Row],[Drug Name9]],'Data Options'!$R$1:$S$100,2,FALSE), " ")</f>
        <v xml:space="preserve"> </v>
      </c>
      <c r="BH146" s="32"/>
      <c r="BI146" s="32"/>
    </row>
    <row r="147" spans="1:61">
      <c r="A147" s="5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53"/>
      <c r="Q147" s="21" t="str">
        <f>IFERROR(VLOOKUP(April[[#This Row],[Drug Name]],'Data Options'!$R$1:$S$100,2,FALSE), " ")</f>
        <v xml:space="preserve"> </v>
      </c>
      <c r="R147" s="32"/>
      <c r="S147" s="32"/>
      <c r="T147" s="53"/>
      <c r="U147" s="21" t="str">
        <f>IFERROR(VLOOKUP(April[[#This Row],[Drug Name2]],'Data Options'!$R$1:$S$100,2,FALSE), " ")</f>
        <v xml:space="preserve"> </v>
      </c>
      <c r="V147" s="32"/>
      <c r="W147" s="32"/>
      <c r="X147" s="53"/>
      <c r="Y147" s="21" t="str">
        <f>IFERROR(VLOOKUP(April[[#This Row],[Drug Name3]],'Data Options'!$R$1:$S$100,2,FALSE), " ")</f>
        <v xml:space="preserve"> </v>
      </c>
      <c r="Z147" s="32"/>
      <c r="AA147" s="32"/>
      <c r="AB147" s="32"/>
      <c r="AC147" s="32"/>
      <c r="AD147" s="32"/>
      <c r="AE147" s="31"/>
      <c r="AF147" s="31"/>
      <c r="AG147" s="53"/>
      <c r="AH147" s="21" t="str">
        <f>IFERROR(VLOOKUP(April[[#This Row],[Drug Name4]],'Data Options'!$R$1:$S$100,2,FALSE), " ")</f>
        <v xml:space="preserve"> </v>
      </c>
      <c r="AI147" s="32"/>
      <c r="AJ147" s="32"/>
      <c r="AK147" s="53"/>
      <c r="AL147" s="21" t="str">
        <f>IFERROR(VLOOKUP(April[[#This Row],[Drug Name5]],'Data Options'!$R$1:$S$100,2,FALSE), " ")</f>
        <v xml:space="preserve"> </v>
      </c>
      <c r="AM147" s="32"/>
      <c r="AN147" s="32"/>
      <c r="AO147" s="53"/>
      <c r="AP147" s="21" t="str">
        <f>IFERROR(VLOOKUP(April[[#This Row],[Drug Name6]],'Data Options'!$R$1:$S$100,2,FALSE), " ")</f>
        <v xml:space="preserve"> </v>
      </c>
      <c r="AQ147" s="32"/>
      <c r="AR147" s="32"/>
      <c r="AS147" s="32"/>
      <c r="AT147" s="32"/>
      <c r="AU147" s="32"/>
      <c r="AV147" s="31"/>
      <c r="AW147" s="31"/>
      <c r="AX147" s="53"/>
      <c r="AY147" s="21" t="str">
        <f>IFERROR(VLOOKUP(April[[#This Row],[Drug Name7]],'Data Options'!$R$1:$S$100,2,FALSE), " ")</f>
        <v xml:space="preserve"> </v>
      </c>
      <c r="AZ147" s="32"/>
      <c r="BA147" s="32"/>
      <c r="BB147" s="53"/>
      <c r="BC147" s="21" t="str">
        <f>IFERROR(VLOOKUP(April[[#This Row],[Drug Name8]],'Data Options'!$R$1:$S$100,2,FALSE), " ")</f>
        <v xml:space="preserve"> </v>
      </c>
      <c r="BD147" s="32"/>
      <c r="BE147" s="32"/>
      <c r="BF147" s="53"/>
      <c r="BG147" s="21" t="str">
        <f>IFERROR(VLOOKUP(April[[#This Row],[Drug Name9]],'Data Options'!$R$1:$S$100,2,FALSE), " ")</f>
        <v xml:space="preserve"> </v>
      </c>
      <c r="BH147" s="32"/>
      <c r="BI147" s="32"/>
    </row>
    <row r="148" spans="1:61">
      <c r="A148" s="5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53"/>
      <c r="Q148" s="21" t="str">
        <f>IFERROR(VLOOKUP(April[[#This Row],[Drug Name]],'Data Options'!$R$1:$S$100,2,FALSE), " ")</f>
        <v xml:space="preserve"> </v>
      </c>
      <c r="R148" s="32"/>
      <c r="S148" s="32"/>
      <c r="T148" s="53"/>
      <c r="U148" s="21" t="str">
        <f>IFERROR(VLOOKUP(April[[#This Row],[Drug Name2]],'Data Options'!$R$1:$S$100,2,FALSE), " ")</f>
        <v xml:space="preserve"> </v>
      </c>
      <c r="V148" s="32"/>
      <c r="W148" s="32"/>
      <c r="X148" s="53"/>
      <c r="Y148" s="21" t="str">
        <f>IFERROR(VLOOKUP(April[[#This Row],[Drug Name3]],'Data Options'!$R$1:$S$100,2,FALSE), " ")</f>
        <v xml:space="preserve"> </v>
      </c>
      <c r="Z148" s="32"/>
      <c r="AA148" s="32"/>
      <c r="AB148" s="32"/>
      <c r="AC148" s="32"/>
      <c r="AD148" s="32"/>
      <c r="AE148" s="31"/>
      <c r="AF148" s="31"/>
      <c r="AG148" s="53"/>
      <c r="AH148" s="21" t="str">
        <f>IFERROR(VLOOKUP(April[[#This Row],[Drug Name4]],'Data Options'!$R$1:$S$100,2,FALSE), " ")</f>
        <v xml:space="preserve"> </v>
      </c>
      <c r="AI148" s="32"/>
      <c r="AJ148" s="32"/>
      <c r="AK148" s="53"/>
      <c r="AL148" s="21" t="str">
        <f>IFERROR(VLOOKUP(April[[#This Row],[Drug Name5]],'Data Options'!$R$1:$S$100,2,FALSE), " ")</f>
        <v xml:space="preserve"> </v>
      </c>
      <c r="AM148" s="32"/>
      <c r="AN148" s="32"/>
      <c r="AO148" s="53"/>
      <c r="AP148" s="21" t="str">
        <f>IFERROR(VLOOKUP(April[[#This Row],[Drug Name6]],'Data Options'!$R$1:$S$100,2,FALSE), " ")</f>
        <v xml:space="preserve"> </v>
      </c>
      <c r="AQ148" s="32"/>
      <c r="AR148" s="32"/>
      <c r="AS148" s="32"/>
      <c r="AT148" s="32"/>
      <c r="AU148" s="32"/>
      <c r="AV148" s="31"/>
      <c r="AW148" s="31"/>
      <c r="AX148" s="53"/>
      <c r="AY148" s="21" t="str">
        <f>IFERROR(VLOOKUP(April[[#This Row],[Drug Name7]],'Data Options'!$R$1:$S$100,2,FALSE), " ")</f>
        <v xml:space="preserve"> </v>
      </c>
      <c r="AZ148" s="32"/>
      <c r="BA148" s="32"/>
      <c r="BB148" s="53"/>
      <c r="BC148" s="21" t="str">
        <f>IFERROR(VLOOKUP(April[[#This Row],[Drug Name8]],'Data Options'!$R$1:$S$100,2,FALSE), " ")</f>
        <v xml:space="preserve"> </v>
      </c>
      <c r="BD148" s="32"/>
      <c r="BE148" s="32"/>
      <c r="BF148" s="53"/>
      <c r="BG148" s="21" t="str">
        <f>IFERROR(VLOOKUP(April[[#This Row],[Drug Name9]],'Data Options'!$R$1:$S$100,2,FALSE), " ")</f>
        <v xml:space="preserve"> </v>
      </c>
      <c r="BH148" s="32"/>
      <c r="BI148" s="32"/>
    </row>
    <row r="149" spans="1:61">
      <c r="A149" s="5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53"/>
      <c r="Q149" s="21" t="str">
        <f>IFERROR(VLOOKUP(April[[#This Row],[Drug Name]],'Data Options'!$R$1:$S$100,2,FALSE), " ")</f>
        <v xml:space="preserve"> </v>
      </c>
      <c r="R149" s="32"/>
      <c r="S149" s="32"/>
      <c r="T149" s="53"/>
      <c r="U149" s="21" t="str">
        <f>IFERROR(VLOOKUP(April[[#This Row],[Drug Name2]],'Data Options'!$R$1:$S$100,2,FALSE), " ")</f>
        <v xml:space="preserve"> </v>
      </c>
      <c r="V149" s="32"/>
      <c r="W149" s="32"/>
      <c r="X149" s="53"/>
      <c r="Y149" s="21" t="str">
        <f>IFERROR(VLOOKUP(April[[#This Row],[Drug Name3]],'Data Options'!$R$1:$S$100,2,FALSE), " ")</f>
        <v xml:space="preserve"> </v>
      </c>
      <c r="Z149" s="32"/>
      <c r="AA149" s="32"/>
      <c r="AB149" s="32"/>
      <c r="AC149" s="32"/>
      <c r="AD149" s="32"/>
      <c r="AE149" s="31"/>
      <c r="AF149" s="31"/>
      <c r="AG149" s="53"/>
      <c r="AH149" s="21" t="str">
        <f>IFERROR(VLOOKUP(April[[#This Row],[Drug Name4]],'Data Options'!$R$1:$S$100,2,FALSE), " ")</f>
        <v xml:space="preserve"> </v>
      </c>
      <c r="AI149" s="32"/>
      <c r="AJ149" s="32"/>
      <c r="AK149" s="53"/>
      <c r="AL149" s="21" t="str">
        <f>IFERROR(VLOOKUP(April[[#This Row],[Drug Name5]],'Data Options'!$R$1:$S$100,2,FALSE), " ")</f>
        <v xml:space="preserve"> </v>
      </c>
      <c r="AM149" s="32"/>
      <c r="AN149" s="32"/>
      <c r="AO149" s="53"/>
      <c r="AP149" s="21" t="str">
        <f>IFERROR(VLOOKUP(April[[#This Row],[Drug Name6]],'Data Options'!$R$1:$S$100,2,FALSE), " ")</f>
        <v xml:space="preserve"> </v>
      </c>
      <c r="AQ149" s="32"/>
      <c r="AR149" s="32"/>
      <c r="AS149" s="32"/>
      <c r="AT149" s="32"/>
      <c r="AU149" s="32"/>
      <c r="AV149" s="31"/>
      <c r="AW149" s="31"/>
      <c r="AX149" s="53"/>
      <c r="AY149" s="21" t="str">
        <f>IFERROR(VLOOKUP(April[[#This Row],[Drug Name7]],'Data Options'!$R$1:$S$100,2,FALSE), " ")</f>
        <v xml:space="preserve"> </v>
      </c>
      <c r="AZ149" s="32"/>
      <c r="BA149" s="32"/>
      <c r="BB149" s="53"/>
      <c r="BC149" s="21" t="str">
        <f>IFERROR(VLOOKUP(April[[#This Row],[Drug Name8]],'Data Options'!$R$1:$S$100,2,FALSE), " ")</f>
        <v xml:space="preserve"> </v>
      </c>
      <c r="BD149" s="32"/>
      <c r="BE149" s="32"/>
      <c r="BF149" s="53"/>
      <c r="BG149" s="21" t="str">
        <f>IFERROR(VLOOKUP(April[[#This Row],[Drug Name9]],'Data Options'!$R$1:$S$100,2,FALSE), " ")</f>
        <v xml:space="preserve"> </v>
      </c>
      <c r="BH149" s="32"/>
      <c r="BI149" s="32"/>
    </row>
    <row r="150" spans="1:61">
      <c r="A150" s="5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53"/>
      <c r="Q150" s="21" t="str">
        <f>IFERROR(VLOOKUP(April[[#This Row],[Drug Name]],'Data Options'!$R$1:$S$100,2,FALSE), " ")</f>
        <v xml:space="preserve"> </v>
      </c>
      <c r="R150" s="32"/>
      <c r="S150" s="32"/>
      <c r="T150" s="53"/>
      <c r="U150" s="21" t="str">
        <f>IFERROR(VLOOKUP(April[[#This Row],[Drug Name2]],'Data Options'!$R$1:$S$100,2,FALSE), " ")</f>
        <v xml:space="preserve"> </v>
      </c>
      <c r="V150" s="32"/>
      <c r="W150" s="32"/>
      <c r="X150" s="53"/>
      <c r="Y150" s="21" t="str">
        <f>IFERROR(VLOOKUP(April[[#This Row],[Drug Name3]],'Data Options'!$R$1:$S$100,2,FALSE), " ")</f>
        <v xml:space="preserve"> </v>
      </c>
      <c r="Z150" s="32"/>
      <c r="AA150" s="32"/>
      <c r="AB150" s="32"/>
      <c r="AC150" s="32"/>
      <c r="AD150" s="32"/>
      <c r="AE150" s="31"/>
      <c r="AF150" s="31"/>
      <c r="AG150" s="53"/>
      <c r="AH150" s="21" t="str">
        <f>IFERROR(VLOOKUP(April[[#This Row],[Drug Name4]],'Data Options'!$R$1:$S$100,2,FALSE), " ")</f>
        <v xml:space="preserve"> </v>
      </c>
      <c r="AI150" s="32"/>
      <c r="AJ150" s="32"/>
      <c r="AK150" s="53"/>
      <c r="AL150" s="21" t="str">
        <f>IFERROR(VLOOKUP(April[[#This Row],[Drug Name5]],'Data Options'!$R$1:$S$100,2,FALSE), " ")</f>
        <v xml:space="preserve"> </v>
      </c>
      <c r="AM150" s="32"/>
      <c r="AN150" s="32"/>
      <c r="AO150" s="53"/>
      <c r="AP150" s="21" t="str">
        <f>IFERROR(VLOOKUP(April[[#This Row],[Drug Name6]],'Data Options'!$R$1:$S$100,2,FALSE), " ")</f>
        <v xml:space="preserve"> </v>
      </c>
      <c r="AQ150" s="32"/>
      <c r="AR150" s="32"/>
      <c r="AS150" s="32"/>
      <c r="AT150" s="32"/>
      <c r="AU150" s="32"/>
      <c r="AV150" s="31"/>
      <c r="AW150" s="31"/>
      <c r="AX150" s="53"/>
      <c r="AY150" s="21" t="str">
        <f>IFERROR(VLOOKUP(April[[#This Row],[Drug Name7]],'Data Options'!$R$1:$S$100,2,FALSE), " ")</f>
        <v xml:space="preserve"> </v>
      </c>
      <c r="AZ150" s="32"/>
      <c r="BA150" s="32"/>
      <c r="BB150" s="53"/>
      <c r="BC150" s="21" t="str">
        <f>IFERROR(VLOOKUP(April[[#This Row],[Drug Name8]],'Data Options'!$R$1:$S$100,2,FALSE), " ")</f>
        <v xml:space="preserve"> </v>
      </c>
      <c r="BD150" s="32"/>
      <c r="BE150" s="32"/>
      <c r="BF150" s="53"/>
      <c r="BG150" s="21" t="str">
        <f>IFERROR(VLOOKUP(April[[#This Row],[Drug Name9]],'Data Options'!$R$1:$S$100,2,FALSE), " ")</f>
        <v xml:space="preserve"> </v>
      </c>
      <c r="BH150" s="32"/>
      <c r="BI150" s="32"/>
    </row>
    <row r="151" spans="1:61">
      <c r="A151" s="5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53"/>
      <c r="Q151" s="21" t="str">
        <f>IFERROR(VLOOKUP(April[[#This Row],[Drug Name]],'Data Options'!$R$1:$S$100,2,FALSE), " ")</f>
        <v xml:space="preserve"> </v>
      </c>
      <c r="R151" s="32"/>
      <c r="S151" s="32"/>
      <c r="T151" s="53"/>
      <c r="U151" s="21" t="str">
        <f>IFERROR(VLOOKUP(April[[#This Row],[Drug Name2]],'Data Options'!$R$1:$S$100,2,FALSE), " ")</f>
        <v xml:space="preserve"> </v>
      </c>
      <c r="V151" s="32"/>
      <c r="W151" s="32"/>
      <c r="X151" s="53"/>
      <c r="Y151" s="21" t="str">
        <f>IFERROR(VLOOKUP(April[[#This Row],[Drug Name3]],'Data Options'!$R$1:$S$100,2,FALSE), " ")</f>
        <v xml:space="preserve"> </v>
      </c>
      <c r="Z151" s="32"/>
      <c r="AA151" s="32"/>
      <c r="AB151" s="32"/>
      <c r="AC151" s="32"/>
      <c r="AD151" s="32"/>
      <c r="AE151" s="31"/>
      <c r="AF151" s="31"/>
      <c r="AG151" s="53"/>
      <c r="AH151" s="21" t="str">
        <f>IFERROR(VLOOKUP(April[[#This Row],[Drug Name4]],'Data Options'!$R$1:$S$100,2,FALSE), " ")</f>
        <v xml:space="preserve"> </v>
      </c>
      <c r="AI151" s="32"/>
      <c r="AJ151" s="32"/>
      <c r="AK151" s="53"/>
      <c r="AL151" s="21" t="str">
        <f>IFERROR(VLOOKUP(April[[#This Row],[Drug Name5]],'Data Options'!$R$1:$S$100,2,FALSE), " ")</f>
        <v xml:space="preserve"> </v>
      </c>
      <c r="AM151" s="32"/>
      <c r="AN151" s="32"/>
      <c r="AO151" s="53"/>
      <c r="AP151" s="21" t="str">
        <f>IFERROR(VLOOKUP(April[[#This Row],[Drug Name6]],'Data Options'!$R$1:$S$100,2,FALSE), " ")</f>
        <v xml:space="preserve"> </v>
      </c>
      <c r="AQ151" s="32"/>
      <c r="AR151" s="32"/>
      <c r="AS151" s="32"/>
      <c r="AT151" s="32"/>
      <c r="AU151" s="32"/>
      <c r="AV151" s="31"/>
      <c r="AW151" s="31"/>
      <c r="AX151" s="53"/>
      <c r="AY151" s="21" t="str">
        <f>IFERROR(VLOOKUP(April[[#This Row],[Drug Name7]],'Data Options'!$R$1:$S$100,2,FALSE), " ")</f>
        <v xml:space="preserve"> </v>
      </c>
      <c r="AZ151" s="32"/>
      <c r="BA151" s="32"/>
      <c r="BB151" s="53"/>
      <c r="BC151" s="21" t="str">
        <f>IFERROR(VLOOKUP(April[[#This Row],[Drug Name8]],'Data Options'!$R$1:$S$100,2,FALSE), " ")</f>
        <v xml:space="preserve"> </v>
      </c>
      <c r="BD151" s="32"/>
      <c r="BE151" s="32"/>
      <c r="BF151" s="53"/>
      <c r="BG151" s="21" t="str">
        <f>IFERROR(VLOOKUP(April[[#This Row],[Drug Name9]],'Data Options'!$R$1:$S$100,2,FALSE), " ")</f>
        <v xml:space="preserve"> </v>
      </c>
      <c r="BH151" s="32"/>
      <c r="BI151" s="32"/>
    </row>
    <row r="152" spans="1:61">
      <c r="A152" s="5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53"/>
      <c r="Q152" s="21" t="str">
        <f>IFERROR(VLOOKUP(April[[#This Row],[Drug Name]],'Data Options'!$R$1:$S$100,2,FALSE), " ")</f>
        <v xml:space="preserve"> </v>
      </c>
      <c r="R152" s="32"/>
      <c r="S152" s="32"/>
      <c r="T152" s="53"/>
      <c r="U152" s="21" t="str">
        <f>IFERROR(VLOOKUP(April[[#This Row],[Drug Name2]],'Data Options'!$R$1:$S$100,2,FALSE), " ")</f>
        <v xml:space="preserve"> </v>
      </c>
      <c r="V152" s="32"/>
      <c r="W152" s="32"/>
      <c r="X152" s="53"/>
      <c r="Y152" s="21" t="str">
        <f>IFERROR(VLOOKUP(April[[#This Row],[Drug Name3]],'Data Options'!$R$1:$S$100,2,FALSE), " ")</f>
        <v xml:space="preserve"> </v>
      </c>
      <c r="Z152" s="32"/>
      <c r="AA152" s="32"/>
      <c r="AB152" s="32"/>
      <c r="AC152" s="32"/>
      <c r="AD152" s="32"/>
      <c r="AE152" s="31"/>
      <c r="AF152" s="31"/>
      <c r="AG152" s="53"/>
      <c r="AH152" s="21" t="str">
        <f>IFERROR(VLOOKUP(April[[#This Row],[Drug Name4]],'Data Options'!$R$1:$S$100,2,FALSE), " ")</f>
        <v xml:space="preserve"> </v>
      </c>
      <c r="AI152" s="32"/>
      <c r="AJ152" s="32"/>
      <c r="AK152" s="53"/>
      <c r="AL152" s="21" t="str">
        <f>IFERROR(VLOOKUP(April[[#This Row],[Drug Name5]],'Data Options'!$R$1:$S$100,2,FALSE), " ")</f>
        <v xml:space="preserve"> </v>
      </c>
      <c r="AM152" s="32"/>
      <c r="AN152" s="32"/>
      <c r="AO152" s="53"/>
      <c r="AP152" s="21" t="str">
        <f>IFERROR(VLOOKUP(April[[#This Row],[Drug Name6]],'Data Options'!$R$1:$S$100,2,FALSE), " ")</f>
        <v xml:space="preserve"> </v>
      </c>
      <c r="AQ152" s="32"/>
      <c r="AR152" s="32"/>
      <c r="AS152" s="32"/>
      <c r="AT152" s="32"/>
      <c r="AU152" s="32"/>
      <c r="AV152" s="31"/>
      <c r="AW152" s="31"/>
      <c r="AX152" s="53"/>
      <c r="AY152" s="21" t="str">
        <f>IFERROR(VLOOKUP(April[[#This Row],[Drug Name7]],'Data Options'!$R$1:$S$100,2,FALSE), " ")</f>
        <v xml:space="preserve"> </v>
      </c>
      <c r="AZ152" s="32"/>
      <c r="BA152" s="32"/>
      <c r="BB152" s="53"/>
      <c r="BC152" s="21" t="str">
        <f>IFERROR(VLOOKUP(April[[#This Row],[Drug Name8]],'Data Options'!$R$1:$S$100,2,FALSE), " ")</f>
        <v xml:space="preserve"> </v>
      </c>
      <c r="BD152" s="32"/>
      <c r="BE152" s="32"/>
      <c r="BF152" s="53"/>
      <c r="BG152" s="21" t="str">
        <f>IFERROR(VLOOKUP(April[[#This Row],[Drug Name9]],'Data Options'!$R$1:$S$100,2,FALSE), " ")</f>
        <v xml:space="preserve"> </v>
      </c>
      <c r="BH152" s="32"/>
      <c r="BI152" s="32"/>
    </row>
    <row r="153" spans="1:61">
      <c r="A153" s="51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53"/>
      <c r="Q153" s="21" t="str">
        <f>IFERROR(VLOOKUP(April[[#This Row],[Drug Name]],'Data Options'!$R$1:$S$100,2,FALSE), " ")</f>
        <v xml:space="preserve"> </v>
      </c>
      <c r="R153" s="32"/>
      <c r="S153" s="32"/>
      <c r="T153" s="53"/>
      <c r="U153" s="21" t="str">
        <f>IFERROR(VLOOKUP(April[[#This Row],[Drug Name2]],'Data Options'!$R$1:$S$100,2,FALSE), " ")</f>
        <v xml:space="preserve"> </v>
      </c>
      <c r="V153" s="32"/>
      <c r="W153" s="32"/>
      <c r="X153" s="53"/>
      <c r="Y153" s="21" t="str">
        <f>IFERROR(VLOOKUP(April[[#This Row],[Drug Name3]],'Data Options'!$R$1:$S$100,2,FALSE), " ")</f>
        <v xml:space="preserve"> </v>
      </c>
      <c r="Z153" s="32"/>
      <c r="AA153" s="32"/>
      <c r="AB153" s="32"/>
      <c r="AC153" s="32"/>
      <c r="AD153" s="32"/>
      <c r="AE153" s="31"/>
      <c r="AF153" s="31"/>
      <c r="AG153" s="53"/>
      <c r="AH153" s="21" t="str">
        <f>IFERROR(VLOOKUP(April[[#This Row],[Drug Name4]],'Data Options'!$R$1:$S$100,2,FALSE), " ")</f>
        <v xml:space="preserve"> </v>
      </c>
      <c r="AI153" s="32"/>
      <c r="AJ153" s="32"/>
      <c r="AK153" s="53"/>
      <c r="AL153" s="21" t="str">
        <f>IFERROR(VLOOKUP(April[[#This Row],[Drug Name5]],'Data Options'!$R$1:$S$100,2,FALSE), " ")</f>
        <v xml:space="preserve"> </v>
      </c>
      <c r="AM153" s="32"/>
      <c r="AN153" s="32"/>
      <c r="AO153" s="53"/>
      <c r="AP153" s="21" t="str">
        <f>IFERROR(VLOOKUP(April[[#This Row],[Drug Name6]],'Data Options'!$R$1:$S$100,2,FALSE), " ")</f>
        <v xml:space="preserve"> </v>
      </c>
      <c r="AQ153" s="32"/>
      <c r="AR153" s="32"/>
      <c r="AS153" s="32"/>
      <c r="AT153" s="32"/>
      <c r="AU153" s="32"/>
      <c r="AV153" s="31"/>
      <c r="AW153" s="31"/>
      <c r="AX153" s="53"/>
      <c r="AY153" s="21" t="str">
        <f>IFERROR(VLOOKUP(April[[#This Row],[Drug Name7]],'Data Options'!$R$1:$S$100,2,FALSE), " ")</f>
        <v xml:space="preserve"> </v>
      </c>
      <c r="AZ153" s="32"/>
      <c r="BA153" s="32"/>
      <c r="BB153" s="53"/>
      <c r="BC153" s="21" t="str">
        <f>IFERROR(VLOOKUP(April[[#This Row],[Drug Name8]],'Data Options'!$R$1:$S$100,2,FALSE), " ")</f>
        <v xml:space="preserve"> </v>
      </c>
      <c r="BD153" s="32"/>
      <c r="BE153" s="32"/>
      <c r="BF153" s="53"/>
      <c r="BG153" s="21" t="str">
        <f>IFERROR(VLOOKUP(April[[#This Row],[Drug Name9]],'Data Options'!$R$1:$S$100,2,FALSE), " ")</f>
        <v xml:space="preserve"> </v>
      </c>
      <c r="BH153" s="32"/>
      <c r="BI153" s="32"/>
    </row>
    <row r="154" spans="1:61">
      <c r="A154" s="5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53"/>
      <c r="Q154" s="21" t="str">
        <f>IFERROR(VLOOKUP(April[[#This Row],[Drug Name]],'Data Options'!$R$1:$S$100,2,FALSE), " ")</f>
        <v xml:space="preserve"> </v>
      </c>
      <c r="R154" s="32"/>
      <c r="S154" s="32"/>
      <c r="T154" s="53"/>
      <c r="U154" s="21" t="str">
        <f>IFERROR(VLOOKUP(April[[#This Row],[Drug Name2]],'Data Options'!$R$1:$S$100,2,FALSE), " ")</f>
        <v xml:space="preserve"> </v>
      </c>
      <c r="V154" s="32"/>
      <c r="W154" s="32"/>
      <c r="X154" s="53"/>
      <c r="Y154" s="21" t="str">
        <f>IFERROR(VLOOKUP(April[[#This Row],[Drug Name3]],'Data Options'!$R$1:$S$100,2,FALSE), " ")</f>
        <v xml:space="preserve"> </v>
      </c>
      <c r="Z154" s="32"/>
      <c r="AA154" s="32"/>
      <c r="AB154" s="32"/>
      <c r="AC154" s="32"/>
      <c r="AD154" s="32"/>
      <c r="AE154" s="31"/>
      <c r="AF154" s="31"/>
      <c r="AG154" s="53"/>
      <c r="AH154" s="21" t="str">
        <f>IFERROR(VLOOKUP(April[[#This Row],[Drug Name4]],'Data Options'!$R$1:$S$100,2,FALSE), " ")</f>
        <v xml:space="preserve"> </v>
      </c>
      <c r="AI154" s="32"/>
      <c r="AJ154" s="32"/>
      <c r="AK154" s="53"/>
      <c r="AL154" s="21" t="str">
        <f>IFERROR(VLOOKUP(April[[#This Row],[Drug Name5]],'Data Options'!$R$1:$S$100,2,FALSE), " ")</f>
        <v xml:space="preserve"> </v>
      </c>
      <c r="AM154" s="32"/>
      <c r="AN154" s="32"/>
      <c r="AO154" s="53"/>
      <c r="AP154" s="21" t="str">
        <f>IFERROR(VLOOKUP(April[[#This Row],[Drug Name6]],'Data Options'!$R$1:$S$100,2,FALSE), " ")</f>
        <v xml:space="preserve"> </v>
      </c>
      <c r="AQ154" s="32"/>
      <c r="AR154" s="32"/>
      <c r="AS154" s="32"/>
      <c r="AT154" s="32"/>
      <c r="AU154" s="32"/>
      <c r="AV154" s="31"/>
      <c r="AW154" s="31"/>
      <c r="AX154" s="53"/>
      <c r="AY154" s="21" t="str">
        <f>IFERROR(VLOOKUP(April[[#This Row],[Drug Name7]],'Data Options'!$R$1:$S$100,2,FALSE), " ")</f>
        <v xml:space="preserve"> </v>
      </c>
      <c r="AZ154" s="32"/>
      <c r="BA154" s="32"/>
      <c r="BB154" s="53"/>
      <c r="BC154" s="21" t="str">
        <f>IFERROR(VLOOKUP(April[[#This Row],[Drug Name8]],'Data Options'!$R$1:$S$100,2,FALSE), " ")</f>
        <v xml:space="preserve"> </v>
      </c>
      <c r="BD154" s="32"/>
      <c r="BE154" s="32"/>
      <c r="BF154" s="53"/>
      <c r="BG154" s="21" t="str">
        <f>IFERROR(VLOOKUP(April[[#This Row],[Drug Name9]],'Data Options'!$R$1:$S$100,2,FALSE), " ")</f>
        <v xml:space="preserve"> </v>
      </c>
      <c r="BH154" s="32"/>
      <c r="BI154" s="32"/>
    </row>
    <row r="155" spans="1:61">
      <c r="A155" s="5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53"/>
      <c r="Q155" s="21" t="str">
        <f>IFERROR(VLOOKUP(April[[#This Row],[Drug Name]],'Data Options'!$R$1:$S$100,2,FALSE), " ")</f>
        <v xml:space="preserve"> </v>
      </c>
      <c r="R155" s="32"/>
      <c r="S155" s="32"/>
      <c r="T155" s="53"/>
      <c r="U155" s="21" t="str">
        <f>IFERROR(VLOOKUP(April[[#This Row],[Drug Name2]],'Data Options'!$R$1:$S$100,2,FALSE), " ")</f>
        <v xml:space="preserve"> </v>
      </c>
      <c r="V155" s="32"/>
      <c r="W155" s="32"/>
      <c r="X155" s="53"/>
      <c r="Y155" s="21" t="str">
        <f>IFERROR(VLOOKUP(April[[#This Row],[Drug Name3]],'Data Options'!$R$1:$S$100,2,FALSE), " ")</f>
        <v xml:space="preserve"> </v>
      </c>
      <c r="Z155" s="32"/>
      <c r="AA155" s="32"/>
      <c r="AB155" s="32"/>
      <c r="AC155" s="32"/>
      <c r="AD155" s="32"/>
      <c r="AE155" s="31"/>
      <c r="AF155" s="31"/>
      <c r="AG155" s="53"/>
      <c r="AH155" s="21" t="str">
        <f>IFERROR(VLOOKUP(April[[#This Row],[Drug Name4]],'Data Options'!$R$1:$S$100,2,FALSE), " ")</f>
        <v xml:space="preserve"> </v>
      </c>
      <c r="AI155" s="32"/>
      <c r="AJ155" s="32"/>
      <c r="AK155" s="53"/>
      <c r="AL155" s="21" t="str">
        <f>IFERROR(VLOOKUP(April[[#This Row],[Drug Name5]],'Data Options'!$R$1:$S$100,2,FALSE), " ")</f>
        <v xml:space="preserve"> </v>
      </c>
      <c r="AM155" s="32"/>
      <c r="AN155" s="32"/>
      <c r="AO155" s="53"/>
      <c r="AP155" s="21" t="str">
        <f>IFERROR(VLOOKUP(April[[#This Row],[Drug Name6]],'Data Options'!$R$1:$S$100,2,FALSE), " ")</f>
        <v xml:space="preserve"> </v>
      </c>
      <c r="AQ155" s="32"/>
      <c r="AR155" s="32"/>
      <c r="AS155" s="32"/>
      <c r="AT155" s="32"/>
      <c r="AU155" s="32"/>
      <c r="AV155" s="31"/>
      <c r="AW155" s="31"/>
      <c r="AX155" s="53"/>
      <c r="AY155" s="21" t="str">
        <f>IFERROR(VLOOKUP(April[[#This Row],[Drug Name7]],'Data Options'!$R$1:$S$100,2,FALSE), " ")</f>
        <v xml:space="preserve"> </v>
      </c>
      <c r="AZ155" s="32"/>
      <c r="BA155" s="32"/>
      <c r="BB155" s="53"/>
      <c r="BC155" s="21" t="str">
        <f>IFERROR(VLOOKUP(April[[#This Row],[Drug Name8]],'Data Options'!$R$1:$S$100,2,FALSE), " ")</f>
        <v xml:space="preserve"> </v>
      </c>
      <c r="BD155" s="32"/>
      <c r="BE155" s="32"/>
      <c r="BF155" s="53"/>
      <c r="BG155" s="21" t="str">
        <f>IFERROR(VLOOKUP(April[[#This Row],[Drug Name9]],'Data Options'!$R$1:$S$100,2,FALSE), " ")</f>
        <v xml:space="preserve"> </v>
      </c>
      <c r="BH155" s="32"/>
      <c r="BI155" s="32"/>
    </row>
    <row r="156" spans="1:61">
      <c r="A156" s="5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53"/>
      <c r="Q156" s="21" t="str">
        <f>IFERROR(VLOOKUP(April[[#This Row],[Drug Name]],'Data Options'!$R$1:$S$100,2,FALSE), " ")</f>
        <v xml:space="preserve"> </v>
      </c>
      <c r="R156" s="32"/>
      <c r="S156" s="32"/>
      <c r="T156" s="53"/>
      <c r="U156" s="21" t="str">
        <f>IFERROR(VLOOKUP(April[[#This Row],[Drug Name2]],'Data Options'!$R$1:$S$100,2,FALSE), " ")</f>
        <v xml:space="preserve"> </v>
      </c>
      <c r="V156" s="32"/>
      <c r="W156" s="32"/>
      <c r="X156" s="53"/>
      <c r="Y156" s="21" t="str">
        <f>IFERROR(VLOOKUP(April[[#This Row],[Drug Name3]],'Data Options'!$R$1:$S$100,2,FALSE), " ")</f>
        <v xml:space="preserve"> </v>
      </c>
      <c r="Z156" s="32"/>
      <c r="AA156" s="32"/>
      <c r="AB156" s="32"/>
      <c r="AC156" s="32"/>
      <c r="AD156" s="32"/>
      <c r="AE156" s="31"/>
      <c r="AF156" s="31"/>
      <c r="AG156" s="53"/>
      <c r="AH156" s="21" t="str">
        <f>IFERROR(VLOOKUP(April[[#This Row],[Drug Name4]],'Data Options'!$R$1:$S$100,2,FALSE), " ")</f>
        <v xml:space="preserve"> </v>
      </c>
      <c r="AI156" s="32"/>
      <c r="AJ156" s="32"/>
      <c r="AK156" s="53"/>
      <c r="AL156" s="21" t="str">
        <f>IFERROR(VLOOKUP(April[[#This Row],[Drug Name5]],'Data Options'!$R$1:$S$100,2,FALSE), " ")</f>
        <v xml:space="preserve"> </v>
      </c>
      <c r="AM156" s="32"/>
      <c r="AN156" s="32"/>
      <c r="AO156" s="53"/>
      <c r="AP156" s="21" t="str">
        <f>IFERROR(VLOOKUP(April[[#This Row],[Drug Name6]],'Data Options'!$R$1:$S$100,2,FALSE), " ")</f>
        <v xml:space="preserve"> </v>
      </c>
      <c r="AQ156" s="32"/>
      <c r="AR156" s="32"/>
      <c r="AS156" s="32"/>
      <c r="AT156" s="32"/>
      <c r="AU156" s="32"/>
      <c r="AV156" s="31"/>
      <c r="AW156" s="31"/>
      <c r="AX156" s="53"/>
      <c r="AY156" s="21" t="str">
        <f>IFERROR(VLOOKUP(April[[#This Row],[Drug Name7]],'Data Options'!$R$1:$S$100,2,FALSE), " ")</f>
        <v xml:space="preserve"> </v>
      </c>
      <c r="AZ156" s="32"/>
      <c r="BA156" s="32"/>
      <c r="BB156" s="53"/>
      <c r="BC156" s="21" t="str">
        <f>IFERROR(VLOOKUP(April[[#This Row],[Drug Name8]],'Data Options'!$R$1:$S$100,2,FALSE), " ")</f>
        <v xml:space="preserve"> </v>
      </c>
      <c r="BD156" s="32"/>
      <c r="BE156" s="32"/>
      <c r="BF156" s="53"/>
      <c r="BG156" s="21" t="str">
        <f>IFERROR(VLOOKUP(April[[#This Row],[Drug Name9]],'Data Options'!$R$1:$S$100,2,FALSE), " ")</f>
        <v xml:space="preserve"> </v>
      </c>
      <c r="BH156" s="32"/>
      <c r="BI156" s="32"/>
    </row>
    <row r="157" spans="1:61">
      <c r="A157" s="51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53"/>
      <c r="Q157" s="21" t="str">
        <f>IFERROR(VLOOKUP(April[[#This Row],[Drug Name]],'Data Options'!$R$1:$S$100,2,FALSE), " ")</f>
        <v xml:space="preserve"> </v>
      </c>
      <c r="R157" s="32"/>
      <c r="S157" s="32"/>
      <c r="T157" s="53"/>
      <c r="U157" s="21" t="str">
        <f>IFERROR(VLOOKUP(April[[#This Row],[Drug Name2]],'Data Options'!$R$1:$S$100,2,FALSE), " ")</f>
        <v xml:space="preserve"> </v>
      </c>
      <c r="V157" s="32"/>
      <c r="W157" s="32"/>
      <c r="X157" s="53"/>
      <c r="Y157" s="21" t="str">
        <f>IFERROR(VLOOKUP(April[[#This Row],[Drug Name3]],'Data Options'!$R$1:$S$100,2,FALSE), " ")</f>
        <v xml:space="preserve"> </v>
      </c>
      <c r="Z157" s="32"/>
      <c r="AA157" s="32"/>
      <c r="AB157" s="32"/>
      <c r="AC157" s="32"/>
      <c r="AD157" s="32"/>
      <c r="AE157" s="31"/>
      <c r="AF157" s="31"/>
      <c r="AG157" s="53"/>
      <c r="AH157" s="21" t="str">
        <f>IFERROR(VLOOKUP(April[[#This Row],[Drug Name4]],'Data Options'!$R$1:$S$100,2,FALSE), " ")</f>
        <v xml:space="preserve"> </v>
      </c>
      <c r="AI157" s="32"/>
      <c r="AJ157" s="32"/>
      <c r="AK157" s="53"/>
      <c r="AL157" s="21" t="str">
        <f>IFERROR(VLOOKUP(April[[#This Row],[Drug Name5]],'Data Options'!$R$1:$S$100,2,FALSE), " ")</f>
        <v xml:space="preserve"> </v>
      </c>
      <c r="AM157" s="32"/>
      <c r="AN157" s="32"/>
      <c r="AO157" s="53"/>
      <c r="AP157" s="21" t="str">
        <f>IFERROR(VLOOKUP(April[[#This Row],[Drug Name6]],'Data Options'!$R$1:$S$100,2,FALSE), " ")</f>
        <v xml:space="preserve"> </v>
      </c>
      <c r="AQ157" s="32"/>
      <c r="AR157" s="32"/>
      <c r="AS157" s="32"/>
      <c r="AT157" s="32"/>
      <c r="AU157" s="32"/>
      <c r="AV157" s="31"/>
      <c r="AW157" s="31"/>
      <c r="AX157" s="53"/>
      <c r="AY157" s="21" t="str">
        <f>IFERROR(VLOOKUP(April[[#This Row],[Drug Name7]],'Data Options'!$R$1:$S$100,2,FALSE), " ")</f>
        <v xml:space="preserve"> </v>
      </c>
      <c r="AZ157" s="32"/>
      <c r="BA157" s="32"/>
      <c r="BB157" s="53"/>
      <c r="BC157" s="21" t="str">
        <f>IFERROR(VLOOKUP(April[[#This Row],[Drug Name8]],'Data Options'!$R$1:$S$100,2,FALSE), " ")</f>
        <v xml:space="preserve"> </v>
      </c>
      <c r="BD157" s="32"/>
      <c r="BE157" s="32"/>
      <c r="BF157" s="53"/>
      <c r="BG157" s="21" t="str">
        <f>IFERROR(VLOOKUP(April[[#This Row],[Drug Name9]],'Data Options'!$R$1:$S$100,2,FALSE), " ")</f>
        <v xml:space="preserve"> </v>
      </c>
      <c r="BH157" s="32"/>
      <c r="BI157" s="32"/>
    </row>
    <row r="158" spans="1:61">
      <c r="A158" s="5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53"/>
      <c r="Q158" s="21" t="str">
        <f>IFERROR(VLOOKUP(April[[#This Row],[Drug Name]],'Data Options'!$R$1:$S$100,2,FALSE), " ")</f>
        <v xml:space="preserve"> </v>
      </c>
      <c r="R158" s="32"/>
      <c r="S158" s="32"/>
      <c r="T158" s="53"/>
      <c r="U158" s="21" t="str">
        <f>IFERROR(VLOOKUP(April[[#This Row],[Drug Name2]],'Data Options'!$R$1:$S$100,2,FALSE), " ")</f>
        <v xml:space="preserve"> </v>
      </c>
      <c r="V158" s="32"/>
      <c r="W158" s="32"/>
      <c r="X158" s="53"/>
      <c r="Y158" s="21" t="str">
        <f>IFERROR(VLOOKUP(April[[#This Row],[Drug Name3]],'Data Options'!$R$1:$S$100,2,FALSE), " ")</f>
        <v xml:space="preserve"> </v>
      </c>
      <c r="Z158" s="32"/>
      <c r="AA158" s="32"/>
      <c r="AB158" s="32"/>
      <c r="AC158" s="32"/>
      <c r="AD158" s="32"/>
      <c r="AE158" s="31"/>
      <c r="AF158" s="31"/>
      <c r="AG158" s="53"/>
      <c r="AH158" s="21" t="str">
        <f>IFERROR(VLOOKUP(April[[#This Row],[Drug Name4]],'Data Options'!$R$1:$S$100,2,FALSE), " ")</f>
        <v xml:space="preserve"> </v>
      </c>
      <c r="AI158" s="32"/>
      <c r="AJ158" s="32"/>
      <c r="AK158" s="53"/>
      <c r="AL158" s="21" t="str">
        <f>IFERROR(VLOOKUP(April[[#This Row],[Drug Name5]],'Data Options'!$R$1:$S$100,2,FALSE), " ")</f>
        <v xml:space="preserve"> </v>
      </c>
      <c r="AM158" s="32"/>
      <c r="AN158" s="32"/>
      <c r="AO158" s="53"/>
      <c r="AP158" s="21" t="str">
        <f>IFERROR(VLOOKUP(April[[#This Row],[Drug Name6]],'Data Options'!$R$1:$S$100,2,FALSE), " ")</f>
        <v xml:space="preserve"> </v>
      </c>
      <c r="AQ158" s="32"/>
      <c r="AR158" s="32"/>
      <c r="AS158" s="32"/>
      <c r="AT158" s="32"/>
      <c r="AU158" s="32"/>
      <c r="AV158" s="31"/>
      <c r="AW158" s="31"/>
      <c r="AX158" s="53"/>
      <c r="AY158" s="21" t="str">
        <f>IFERROR(VLOOKUP(April[[#This Row],[Drug Name7]],'Data Options'!$R$1:$S$100,2,FALSE), " ")</f>
        <v xml:space="preserve"> </v>
      </c>
      <c r="AZ158" s="32"/>
      <c r="BA158" s="32"/>
      <c r="BB158" s="53"/>
      <c r="BC158" s="21" t="str">
        <f>IFERROR(VLOOKUP(April[[#This Row],[Drug Name8]],'Data Options'!$R$1:$S$100,2,FALSE), " ")</f>
        <v xml:space="preserve"> </v>
      </c>
      <c r="BD158" s="32"/>
      <c r="BE158" s="32"/>
      <c r="BF158" s="53"/>
      <c r="BG158" s="21" t="str">
        <f>IFERROR(VLOOKUP(April[[#This Row],[Drug Name9]],'Data Options'!$R$1:$S$100,2,FALSE), " ")</f>
        <v xml:space="preserve"> </v>
      </c>
      <c r="BH158" s="32"/>
      <c r="BI158" s="32"/>
    </row>
    <row r="159" spans="1:61">
      <c r="A159" s="5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53"/>
      <c r="Q159" s="21" t="str">
        <f>IFERROR(VLOOKUP(April[[#This Row],[Drug Name]],'Data Options'!$R$1:$S$100,2,FALSE), " ")</f>
        <v xml:space="preserve"> </v>
      </c>
      <c r="R159" s="32"/>
      <c r="S159" s="32"/>
      <c r="T159" s="53"/>
      <c r="U159" s="21" t="str">
        <f>IFERROR(VLOOKUP(April[[#This Row],[Drug Name2]],'Data Options'!$R$1:$S$100,2,FALSE), " ")</f>
        <v xml:space="preserve"> </v>
      </c>
      <c r="V159" s="32"/>
      <c r="W159" s="32"/>
      <c r="X159" s="53"/>
      <c r="Y159" s="21" t="str">
        <f>IFERROR(VLOOKUP(April[[#This Row],[Drug Name3]],'Data Options'!$R$1:$S$100,2,FALSE), " ")</f>
        <v xml:space="preserve"> </v>
      </c>
      <c r="Z159" s="32"/>
      <c r="AA159" s="32"/>
      <c r="AB159" s="32"/>
      <c r="AC159" s="32"/>
      <c r="AD159" s="32"/>
      <c r="AE159" s="31"/>
      <c r="AF159" s="31"/>
      <c r="AG159" s="53"/>
      <c r="AH159" s="21" t="str">
        <f>IFERROR(VLOOKUP(April[[#This Row],[Drug Name4]],'Data Options'!$R$1:$S$100,2,FALSE), " ")</f>
        <v xml:space="preserve"> </v>
      </c>
      <c r="AI159" s="32"/>
      <c r="AJ159" s="32"/>
      <c r="AK159" s="53"/>
      <c r="AL159" s="21" t="str">
        <f>IFERROR(VLOOKUP(April[[#This Row],[Drug Name5]],'Data Options'!$R$1:$S$100,2,FALSE), " ")</f>
        <v xml:space="preserve"> </v>
      </c>
      <c r="AM159" s="32"/>
      <c r="AN159" s="32"/>
      <c r="AO159" s="53"/>
      <c r="AP159" s="21" t="str">
        <f>IFERROR(VLOOKUP(April[[#This Row],[Drug Name6]],'Data Options'!$R$1:$S$100,2,FALSE), " ")</f>
        <v xml:space="preserve"> </v>
      </c>
      <c r="AQ159" s="32"/>
      <c r="AR159" s="32"/>
      <c r="AS159" s="32"/>
      <c r="AT159" s="32"/>
      <c r="AU159" s="32"/>
      <c r="AV159" s="31"/>
      <c r="AW159" s="31"/>
      <c r="AX159" s="53"/>
      <c r="AY159" s="21" t="str">
        <f>IFERROR(VLOOKUP(April[[#This Row],[Drug Name7]],'Data Options'!$R$1:$S$100,2,FALSE), " ")</f>
        <v xml:space="preserve"> </v>
      </c>
      <c r="AZ159" s="32"/>
      <c r="BA159" s="32"/>
      <c r="BB159" s="53"/>
      <c r="BC159" s="21" t="str">
        <f>IFERROR(VLOOKUP(April[[#This Row],[Drug Name8]],'Data Options'!$R$1:$S$100,2,FALSE), " ")</f>
        <v xml:space="preserve"> </v>
      </c>
      <c r="BD159" s="32"/>
      <c r="BE159" s="32"/>
      <c r="BF159" s="53"/>
      <c r="BG159" s="21" t="str">
        <f>IFERROR(VLOOKUP(April[[#This Row],[Drug Name9]],'Data Options'!$R$1:$S$100,2,FALSE), " ")</f>
        <v xml:space="preserve"> </v>
      </c>
      <c r="BH159" s="32"/>
      <c r="BI159" s="32"/>
    </row>
    <row r="160" spans="1:61">
      <c r="A160" s="5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53"/>
      <c r="Q160" s="21" t="str">
        <f>IFERROR(VLOOKUP(April[[#This Row],[Drug Name]],'Data Options'!$R$1:$S$100,2,FALSE), " ")</f>
        <v xml:space="preserve"> </v>
      </c>
      <c r="R160" s="32"/>
      <c r="S160" s="32"/>
      <c r="T160" s="53"/>
      <c r="U160" s="21" t="str">
        <f>IFERROR(VLOOKUP(April[[#This Row],[Drug Name2]],'Data Options'!$R$1:$S$100,2,FALSE), " ")</f>
        <v xml:space="preserve"> </v>
      </c>
      <c r="V160" s="32"/>
      <c r="W160" s="32"/>
      <c r="X160" s="53"/>
      <c r="Y160" s="21" t="str">
        <f>IFERROR(VLOOKUP(April[[#This Row],[Drug Name3]],'Data Options'!$R$1:$S$100,2,FALSE), " ")</f>
        <v xml:space="preserve"> </v>
      </c>
      <c r="Z160" s="32"/>
      <c r="AA160" s="32"/>
      <c r="AB160" s="32"/>
      <c r="AC160" s="32"/>
      <c r="AD160" s="32"/>
      <c r="AE160" s="31"/>
      <c r="AF160" s="31"/>
      <c r="AG160" s="53"/>
      <c r="AH160" s="21" t="str">
        <f>IFERROR(VLOOKUP(April[[#This Row],[Drug Name4]],'Data Options'!$R$1:$S$100,2,FALSE), " ")</f>
        <v xml:space="preserve"> </v>
      </c>
      <c r="AI160" s="32"/>
      <c r="AJ160" s="32"/>
      <c r="AK160" s="53"/>
      <c r="AL160" s="21" t="str">
        <f>IFERROR(VLOOKUP(April[[#This Row],[Drug Name5]],'Data Options'!$R$1:$S$100,2,FALSE), " ")</f>
        <v xml:space="preserve"> </v>
      </c>
      <c r="AM160" s="32"/>
      <c r="AN160" s="32"/>
      <c r="AO160" s="53"/>
      <c r="AP160" s="21" t="str">
        <f>IFERROR(VLOOKUP(April[[#This Row],[Drug Name6]],'Data Options'!$R$1:$S$100,2,FALSE), " ")</f>
        <v xml:space="preserve"> </v>
      </c>
      <c r="AQ160" s="32"/>
      <c r="AR160" s="32"/>
      <c r="AS160" s="32"/>
      <c r="AT160" s="32"/>
      <c r="AU160" s="32"/>
      <c r="AV160" s="31"/>
      <c r="AW160" s="31"/>
      <c r="AX160" s="53"/>
      <c r="AY160" s="21" t="str">
        <f>IFERROR(VLOOKUP(April[[#This Row],[Drug Name7]],'Data Options'!$R$1:$S$100,2,FALSE), " ")</f>
        <v xml:space="preserve"> </v>
      </c>
      <c r="AZ160" s="32"/>
      <c r="BA160" s="32"/>
      <c r="BB160" s="53"/>
      <c r="BC160" s="21" t="str">
        <f>IFERROR(VLOOKUP(April[[#This Row],[Drug Name8]],'Data Options'!$R$1:$S$100,2,FALSE), " ")</f>
        <v xml:space="preserve"> </v>
      </c>
      <c r="BD160" s="32"/>
      <c r="BE160" s="32"/>
      <c r="BF160" s="53"/>
      <c r="BG160" s="21" t="str">
        <f>IFERROR(VLOOKUP(April[[#This Row],[Drug Name9]],'Data Options'!$R$1:$S$100,2,FALSE), " ")</f>
        <v xml:space="preserve"> </v>
      </c>
      <c r="BH160" s="32"/>
      <c r="BI160" s="32"/>
    </row>
    <row r="161" spans="1:61">
      <c r="A161" s="5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53"/>
      <c r="Q161" s="21" t="str">
        <f>IFERROR(VLOOKUP(April[[#This Row],[Drug Name]],'Data Options'!$R$1:$S$100,2,FALSE), " ")</f>
        <v xml:space="preserve"> </v>
      </c>
      <c r="R161" s="32"/>
      <c r="S161" s="32"/>
      <c r="T161" s="53"/>
      <c r="U161" s="21" t="str">
        <f>IFERROR(VLOOKUP(April[[#This Row],[Drug Name2]],'Data Options'!$R$1:$S$100,2,FALSE), " ")</f>
        <v xml:space="preserve"> </v>
      </c>
      <c r="V161" s="32"/>
      <c r="W161" s="32"/>
      <c r="X161" s="53"/>
      <c r="Y161" s="21" t="str">
        <f>IFERROR(VLOOKUP(April[[#This Row],[Drug Name3]],'Data Options'!$R$1:$S$100,2,FALSE), " ")</f>
        <v xml:space="preserve"> </v>
      </c>
      <c r="Z161" s="32"/>
      <c r="AA161" s="32"/>
      <c r="AB161" s="32"/>
      <c r="AC161" s="32"/>
      <c r="AD161" s="32"/>
      <c r="AE161" s="31"/>
      <c r="AF161" s="31"/>
      <c r="AG161" s="53"/>
      <c r="AH161" s="21" t="str">
        <f>IFERROR(VLOOKUP(April[[#This Row],[Drug Name4]],'Data Options'!$R$1:$S$100,2,FALSE), " ")</f>
        <v xml:space="preserve"> </v>
      </c>
      <c r="AI161" s="32"/>
      <c r="AJ161" s="32"/>
      <c r="AK161" s="53"/>
      <c r="AL161" s="21" t="str">
        <f>IFERROR(VLOOKUP(April[[#This Row],[Drug Name5]],'Data Options'!$R$1:$S$100,2,FALSE), " ")</f>
        <v xml:space="preserve"> </v>
      </c>
      <c r="AM161" s="32"/>
      <c r="AN161" s="32"/>
      <c r="AO161" s="53"/>
      <c r="AP161" s="21" t="str">
        <f>IFERROR(VLOOKUP(April[[#This Row],[Drug Name6]],'Data Options'!$R$1:$S$100,2,FALSE), " ")</f>
        <v xml:space="preserve"> </v>
      </c>
      <c r="AQ161" s="32"/>
      <c r="AR161" s="32"/>
      <c r="AS161" s="32"/>
      <c r="AT161" s="32"/>
      <c r="AU161" s="32"/>
      <c r="AV161" s="31"/>
      <c r="AW161" s="31"/>
      <c r="AX161" s="53"/>
      <c r="AY161" s="21" t="str">
        <f>IFERROR(VLOOKUP(April[[#This Row],[Drug Name7]],'Data Options'!$R$1:$S$100,2,FALSE), " ")</f>
        <v xml:space="preserve"> </v>
      </c>
      <c r="AZ161" s="32"/>
      <c r="BA161" s="32"/>
      <c r="BB161" s="53"/>
      <c r="BC161" s="21" t="str">
        <f>IFERROR(VLOOKUP(April[[#This Row],[Drug Name8]],'Data Options'!$R$1:$S$100,2,FALSE), " ")</f>
        <v xml:space="preserve"> </v>
      </c>
      <c r="BD161" s="32"/>
      <c r="BE161" s="32"/>
      <c r="BF161" s="53"/>
      <c r="BG161" s="21" t="str">
        <f>IFERROR(VLOOKUP(April[[#This Row],[Drug Name9]],'Data Options'!$R$1:$S$100,2,FALSE), " ")</f>
        <v xml:space="preserve"> </v>
      </c>
      <c r="BH161" s="32"/>
      <c r="BI161" s="32"/>
    </row>
    <row r="162" spans="1:61">
      <c r="A162" s="5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53"/>
      <c r="Q162" s="21" t="str">
        <f>IFERROR(VLOOKUP(April[[#This Row],[Drug Name]],'Data Options'!$R$1:$S$100,2,FALSE), " ")</f>
        <v xml:space="preserve"> </v>
      </c>
      <c r="R162" s="32"/>
      <c r="S162" s="32"/>
      <c r="T162" s="53"/>
      <c r="U162" s="21" t="str">
        <f>IFERROR(VLOOKUP(April[[#This Row],[Drug Name2]],'Data Options'!$R$1:$S$100,2,FALSE), " ")</f>
        <v xml:space="preserve"> </v>
      </c>
      <c r="V162" s="32"/>
      <c r="W162" s="32"/>
      <c r="X162" s="53"/>
      <c r="Y162" s="21" t="str">
        <f>IFERROR(VLOOKUP(April[[#This Row],[Drug Name3]],'Data Options'!$R$1:$S$100,2,FALSE), " ")</f>
        <v xml:space="preserve"> </v>
      </c>
      <c r="Z162" s="32"/>
      <c r="AA162" s="32"/>
      <c r="AB162" s="32"/>
      <c r="AC162" s="32"/>
      <c r="AD162" s="32"/>
      <c r="AE162" s="31"/>
      <c r="AF162" s="31"/>
      <c r="AG162" s="53"/>
      <c r="AH162" s="21" t="str">
        <f>IFERROR(VLOOKUP(April[[#This Row],[Drug Name4]],'Data Options'!$R$1:$S$100,2,FALSE), " ")</f>
        <v xml:space="preserve"> </v>
      </c>
      <c r="AI162" s="32"/>
      <c r="AJ162" s="32"/>
      <c r="AK162" s="53"/>
      <c r="AL162" s="21" t="str">
        <f>IFERROR(VLOOKUP(April[[#This Row],[Drug Name5]],'Data Options'!$R$1:$S$100,2,FALSE), " ")</f>
        <v xml:space="preserve"> </v>
      </c>
      <c r="AM162" s="32"/>
      <c r="AN162" s="32"/>
      <c r="AO162" s="53"/>
      <c r="AP162" s="21" t="str">
        <f>IFERROR(VLOOKUP(April[[#This Row],[Drug Name6]],'Data Options'!$R$1:$S$100,2,FALSE), " ")</f>
        <v xml:space="preserve"> </v>
      </c>
      <c r="AQ162" s="32"/>
      <c r="AR162" s="32"/>
      <c r="AS162" s="32"/>
      <c r="AT162" s="32"/>
      <c r="AU162" s="32"/>
      <c r="AV162" s="31"/>
      <c r="AW162" s="31"/>
      <c r="AX162" s="53"/>
      <c r="AY162" s="21" t="str">
        <f>IFERROR(VLOOKUP(April[[#This Row],[Drug Name7]],'Data Options'!$R$1:$S$100,2,FALSE), " ")</f>
        <v xml:space="preserve"> </v>
      </c>
      <c r="AZ162" s="32"/>
      <c r="BA162" s="32"/>
      <c r="BB162" s="53"/>
      <c r="BC162" s="21" t="str">
        <f>IFERROR(VLOOKUP(April[[#This Row],[Drug Name8]],'Data Options'!$R$1:$S$100,2,FALSE), " ")</f>
        <v xml:space="preserve"> </v>
      </c>
      <c r="BD162" s="32"/>
      <c r="BE162" s="32"/>
      <c r="BF162" s="53"/>
      <c r="BG162" s="21" t="str">
        <f>IFERROR(VLOOKUP(April[[#This Row],[Drug Name9]],'Data Options'!$R$1:$S$100,2,FALSE), " ")</f>
        <v xml:space="preserve"> </v>
      </c>
      <c r="BH162" s="32"/>
      <c r="BI162" s="32"/>
    </row>
    <row r="163" spans="1:61">
      <c r="A163" s="5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53"/>
      <c r="Q163" s="21" t="str">
        <f>IFERROR(VLOOKUP(April[[#This Row],[Drug Name]],'Data Options'!$R$1:$S$100,2,FALSE), " ")</f>
        <v xml:space="preserve"> </v>
      </c>
      <c r="R163" s="32"/>
      <c r="S163" s="32"/>
      <c r="T163" s="53"/>
      <c r="U163" s="21" t="str">
        <f>IFERROR(VLOOKUP(April[[#This Row],[Drug Name2]],'Data Options'!$R$1:$S$100,2,FALSE), " ")</f>
        <v xml:space="preserve"> </v>
      </c>
      <c r="V163" s="32"/>
      <c r="W163" s="32"/>
      <c r="X163" s="53"/>
      <c r="Y163" s="21" t="str">
        <f>IFERROR(VLOOKUP(April[[#This Row],[Drug Name3]],'Data Options'!$R$1:$S$100,2,FALSE), " ")</f>
        <v xml:space="preserve"> </v>
      </c>
      <c r="Z163" s="32"/>
      <c r="AA163" s="32"/>
      <c r="AB163" s="32"/>
      <c r="AC163" s="32"/>
      <c r="AD163" s="32"/>
      <c r="AE163" s="31"/>
      <c r="AF163" s="31"/>
      <c r="AG163" s="53"/>
      <c r="AH163" s="21" t="str">
        <f>IFERROR(VLOOKUP(April[[#This Row],[Drug Name4]],'Data Options'!$R$1:$S$100,2,FALSE), " ")</f>
        <v xml:space="preserve"> </v>
      </c>
      <c r="AI163" s="32"/>
      <c r="AJ163" s="32"/>
      <c r="AK163" s="53"/>
      <c r="AL163" s="21" t="str">
        <f>IFERROR(VLOOKUP(April[[#This Row],[Drug Name5]],'Data Options'!$R$1:$S$100,2,FALSE), " ")</f>
        <v xml:space="preserve"> </v>
      </c>
      <c r="AM163" s="32"/>
      <c r="AN163" s="32"/>
      <c r="AO163" s="53"/>
      <c r="AP163" s="21" t="str">
        <f>IFERROR(VLOOKUP(April[[#This Row],[Drug Name6]],'Data Options'!$R$1:$S$100,2,FALSE), " ")</f>
        <v xml:space="preserve"> </v>
      </c>
      <c r="AQ163" s="32"/>
      <c r="AR163" s="32"/>
      <c r="AS163" s="32"/>
      <c r="AT163" s="32"/>
      <c r="AU163" s="32"/>
      <c r="AV163" s="31"/>
      <c r="AW163" s="31"/>
      <c r="AX163" s="53"/>
      <c r="AY163" s="21" t="str">
        <f>IFERROR(VLOOKUP(April[[#This Row],[Drug Name7]],'Data Options'!$R$1:$S$100,2,FALSE), " ")</f>
        <v xml:space="preserve"> </v>
      </c>
      <c r="AZ163" s="32"/>
      <c r="BA163" s="32"/>
      <c r="BB163" s="53"/>
      <c r="BC163" s="21" t="str">
        <f>IFERROR(VLOOKUP(April[[#This Row],[Drug Name8]],'Data Options'!$R$1:$S$100,2,FALSE), " ")</f>
        <v xml:space="preserve"> </v>
      </c>
      <c r="BD163" s="32"/>
      <c r="BE163" s="32"/>
      <c r="BF163" s="53"/>
      <c r="BG163" s="21" t="str">
        <f>IFERROR(VLOOKUP(April[[#This Row],[Drug Name9]],'Data Options'!$R$1:$S$100,2,FALSE), " ")</f>
        <v xml:space="preserve"> </v>
      </c>
      <c r="BH163" s="32"/>
      <c r="BI163" s="32"/>
    </row>
    <row r="164" spans="1:61">
      <c r="A164" s="5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53"/>
      <c r="Q164" s="21" t="str">
        <f>IFERROR(VLOOKUP(April[[#This Row],[Drug Name]],'Data Options'!$R$1:$S$100,2,FALSE), " ")</f>
        <v xml:space="preserve"> </v>
      </c>
      <c r="R164" s="32"/>
      <c r="S164" s="32"/>
      <c r="T164" s="53"/>
      <c r="U164" s="21" t="str">
        <f>IFERROR(VLOOKUP(April[[#This Row],[Drug Name2]],'Data Options'!$R$1:$S$100,2,FALSE), " ")</f>
        <v xml:space="preserve"> </v>
      </c>
      <c r="V164" s="32"/>
      <c r="W164" s="32"/>
      <c r="X164" s="53"/>
      <c r="Y164" s="21" t="str">
        <f>IFERROR(VLOOKUP(April[[#This Row],[Drug Name3]],'Data Options'!$R$1:$S$100,2,FALSE), " ")</f>
        <v xml:space="preserve"> </v>
      </c>
      <c r="Z164" s="32"/>
      <c r="AA164" s="32"/>
      <c r="AB164" s="32"/>
      <c r="AC164" s="32"/>
      <c r="AD164" s="32"/>
      <c r="AE164" s="31"/>
      <c r="AF164" s="31"/>
      <c r="AG164" s="53"/>
      <c r="AH164" s="21" t="str">
        <f>IFERROR(VLOOKUP(April[[#This Row],[Drug Name4]],'Data Options'!$R$1:$S$100,2,FALSE), " ")</f>
        <v xml:space="preserve"> </v>
      </c>
      <c r="AI164" s="32"/>
      <c r="AJ164" s="32"/>
      <c r="AK164" s="53"/>
      <c r="AL164" s="21" t="str">
        <f>IFERROR(VLOOKUP(April[[#This Row],[Drug Name5]],'Data Options'!$R$1:$S$100,2,FALSE), " ")</f>
        <v xml:space="preserve"> </v>
      </c>
      <c r="AM164" s="32"/>
      <c r="AN164" s="32"/>
      <c r="AO164" s="53"/>
      <c r="AP164" s="21" t="str">
        <f>IFERROR(VLOOKUP(April[[#This Row],[Drug Name6]],'Data Options'!$R$1:$S$100,2,FALSE), " ")</f>
        <v xml:space="preserve"> </v>
      </c>
      <c r="AQ164" s="32"/>
      <c r="AR164" s="32"/>
      <c r="AS164" s="32"/>
      <c r="AT164" s="32"/>
      <c r="AU164" s="32"/>
      <c r="AV164" s="31"/>
      <c r="AW164" s="31"/>
      <c r="AX164" s="53"/>
      <c r="AY164" s="21" t="str">
        <f>IFERROR(VLOOKUP(April[[#This Row],[Drug Name7]],'Data Options'!$R$1:$S$100,2,FALSE), " ")</f>
        <v xml:space="preserve"> </v>
      </c>
      <c r="AZ164" s="32"/>
      <c r="BA164" s="32"/>
      <c r="BB164" s="53"/>
      <c r="BC164" s="21" t="str">
        <f>IFERROR(VLOOKUP(April[[#This Row],[Drug Name8]],'Data Options'!$R$1:$S$100,2,FALSE), " ")</f>
        <v xml:space="preserve"> </v>
      </c>
      <c r="BD164" s="32"/>
      <c r="BE164" s="32"/>
      <c r="BF164" s="53"/>
      <c r="BG164" s="21" t="str">
        <f>IFERROR(VLOOKUP(April[[#This Row],[Drug Name9]],'Data Options'!$R$1:$S$100,2,FALSE), " ")</f>
        <v xml:space="preserve"> </v>
      </c>
      <c r="BH164" s="32"/>
      <c r="BI164" s="32"/>
    </row>
    <row r="165" spans="1:61">
      <c r="A165" s="5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53"/>
      <c r="Q165" s="21" t="str">
        <f>IFERROR(VLOOKUP(April[[#This Row],[Drug Name]],'Data Options'!$R$1:$S$100,2,FALSE), " ")</f>
        <v xml:space="preserve"> </v>
      </c>
      <c r="R165" s="32"/>
      <c r="S165" s="32"/>
      <c r="T165" s="53"/>
      <c r="U165" s="21" t="str">
        <f>IFERROR(VLOOKUP(April[[#This Row],[Drug Name2]],'Data Options'!$R$1:$S$100,2,FALSE), " ")</f>
        <v xml:space="preserve"> </v>
      </c>
      <c r="V165" s="32"/>
      <c r="W165" s="32"/>
      <c r="X165" s="53"/>
      <c r="Y165" s="21" t="str">
        <f>IFERROR(VLOOKUP(April[[#This Row],[Drug Name3]],'Data Options'!$R$1:$S$100,2,FALSE), " ")</f>
        <v xml:space="preserve"> </v>
      </c>
      <c r="Z165" s="32"/>
      <c r="AA165" s="32"/>
      <c r="AB165" s="32"/>
      <c r="AC165" s="32"/>
      <c r="AD165" s="32"/>
      <c r="AE165" s="31"/>
      <c r="AF165" s="31"/>
      <c r="AG165" s="53"/>
      <c r="AH165" s="21" t="str">
        <f>IFERROR(VLOOKUP(April[[#This Row],[Drug Name4]],'Data Options'!$R$1:$S$100,2,FALSE), " ")</f>
        <v xml:space="preserve"> </v>
      </c>
      <c r="AI165" s="32"/>
      <c r="AJ165" s="32"/>
      <c r="AK165" s="53"/>
      <c r="AL165" s="21" t="str">
        <f>IFERROR(VLOOKUP(April[[#This Row],[Drug Name5]],'Data Options'!$R$1:$S$100,2,FALSE), " ")</f>
        <v xml:space="preserve"> </v>
      </c>
      <c r="AM165" s="32"/>
      <c r="AN165" s="32"/>
      <c r="AO165" s="53"/>
      <c r="AP165" s="21" t="str">
        <f>IFERROR(VLOOKUP(April[[#This Row],[Drug Name6]],'Data Options'!$R$1:$S$100,2,FALSE), " ")</f>
        <v xml:space="preserve"> </v>
      </c>
      <c r="AQ165" s="32"/>
      <c r="AR165" s="32"/>
      <c r="AS165" s="32"/>
      <c r="AT165" s="32"/>
      <c r="AU165" s="32"/>
      <c r="AV165" s="31"/>
      <c r="AW165" s="31"/>
      <c r="AX165" s="53"/>
      <c r="AY165" s="21" t="str">
        <f>IFERROR(VLOOKUP(April[[#This Row],[Drug Name7]],'Data Options'!$R$1:$S$100,2,FALSE), " ")</f>
        <v xml:space="preserve"> </v>
      </c>
      <c r="AZ165" s="32"/>
      <c r="BA165" s="32"/>
      <c r="BB165" s="53"/>
      <c r="BC165" s="21" t="str">
        <f>IFERROR(VLOOKUP(April[[#This Row],[Drug Name8]],'Data Options'!$R$1:$S$100,2,FALSE), " ")</f>
        <v xml:space="preserve"> </v>
      </c>
      <c r="BD165" s="32"/>
      <c r="BE165" s="32"/>
      <c r="BF165" s="53"/>
      <c r="BG165" s="21" t="str">
        <f>IFERROR(VLOOKUP(April[[#This Row],[Drug Name9]],'Data Options'!$R$1:$S$100,2,FALSE), " ")</f>
        <v xml:space="preserve"> </v>
      </c>
      <c r="BH165" s="32"/>
      <c r="BI165" s="32"/>
    </row>
    <row r="166" spans="1:61">
      <c r="A166" s="51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53"/>
      <c r="Q166" s="21" t="str">
        <f>IFERROR(VLOOKUP(April[[#This Row],[Drug Name]],'Data Options'!$R$1:$S$100,2,FALSE), " ")</f>
        <v xml:space="preserve"> </v>
      </c>
      <c r="R166" s="32"/>
      <c r="S166" s="32"/>
      <c r="T166" s="53"/>
      <c r="U166" s="21" t="str">
        <f>IFERROR(VLOOKUP(April[[#This Row],[Drug Name2]],'Data Options'!$R$1:$S$100,2,FALSE), " ")</f>
        <v xml:space="preserve"> </v>
      </c>
      <c r="V166" s="32"/>
      <c r="W166" s="32"/>
      <c r="X166" s="53"/>
      <c r="Y166" s="21" t="str">
        <f>IFERROR(VLOOKUP(April[[#This Row],[Drug Name3]],'Data Options'!$R$1:$S$100,2,FALSE), " ")</f>
        <v xml:space="preserve"> </v>
      </c>
      <c r="Z166" s="32"/>
      <c r="AA166" s="32"/>
      <c r="AB166" s="32"/>
      <c r="AC166" s="32"/>
      <c r="AD166" s="32"/>
      <c r="AE166" s="31"/>
      <c r="AF166" s="31"/>
      <c r="AG166" s="53"/>
      <c r="AH166" s="21" t="str">
        <f>IFERROR(VLOOKUP(April[[#This Row],[Drug Name4]],'Data Options'!$R$1:$S$100,2,FALSE), " ")</f>
        <v xml:space="preserve"> </v>
      </c>
      <c r="AI166" s="32"/>
      <c r="AJ166" s="32"/>
      <c r="AK166" s="53"/>
      <c r="AL166" s="21" t="str">
        <f>IFERROR(VLOOKUP(April[[#This Row],[Drug Name5]],'Data Options'!$R$1:$S$100,2,FALSE), " ")</f>
        <v xml:space="preserve"> </v>
      </c>
      <c r="AM166" s="32"/>
      <c r="AN166" s="32"/>
      <c r="AO166" s="53"/>
      <c r="AP166" s="21" t="str">
        <f>IFERROR(VLOOKUP(April[[#This Row],[Drug Name6]],'Data Options'!$R$1:$S$100,2,FALSE), " ")</f>
        <v xml:space="preserve"> </v>
      </c>
      <c r="AQ166" s="32"/>
      <c r="AR166" s="32"/>
      <c r="AS166" s="32"/>
      <c r="AT166" s="32"/>
      <c r="AU166" s="32"/>
      <c r="AV166" s="31"/>
      <c r="AW166" s="31"/>
      <c r="AX166" s="53"/>
      <c r="AY166" s="21" t="str">
        <f>IFERROR(VLOOKUP(April[[#This Row],[Drug Name7]],'Data Options'!$R$1:$S$100,2,FALSE), " ")</f>
        <v xml:space="preserve"> </v>
      </c>
      <c r="AZ166" s="32"/>
      <c r="BA166" s="32"/>
      <c r="BB166" s="53"/>
      <c r="BC166" s="21" t="str">
        <f>IFERROR(VLOOKUP(April[[#This Row],[Drug Name8]],'Data Options'!$R$1:$S$100,2,FALSE), " ")</f>
        <v xml:space="preserve"> </v>
      </c>
      <c r="BD166" s="32"/>
      <c r="BE166" s="32"/>
      <c r="BF166" s="53"/>
      <c r="BG166" s="21" t="str">
        <f>IFERROR(VLOOKUP(April[[#This Row],[Drug Name9]],'Data Options'!$R$1:$S$100,2,FALSE), " ")</f>
        <v xml:space="preserve"> </v>
      </c>
      <c r="BH166" s="32"/>
      <c r="BI166" s="32"/>
    </row>
    <row r="167" spans="1:61">
      <c r="A167" s="5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53"/>
      <c r="Q167" s="21" t="str">
        <f>IFERROR(VLOOKUP(April[[#This Row],[Drug Name]],'Data Options'!$R$1:$S$100,2,FALSE), " ")</f>
        <v xml:space="preserve"> </v>
      </c>
      <c r="R167" s="32"/>
      <c r="S167" s="32"/>
      <c r="T167" s="53"/>
      <c r="U167" s="21" t="str">
        <f>IFERROR(VLOOKUP(April[[#This Row],[Drug Name2]],'Data Options'!$R$1:$S$100,2,FALSE), " ")</f>
        <v xml:space="preserve"> </v>
      </c>
      <c r="V167" s="32"/>
      <c r="W167" s="32"/>
      <c r="X167" s="53"/>
      <c r="Y167" s="21" t="str">
        <f>IFERROR(VLOOKUP(April[[#This Row],[Drug Name3]],'Data Options'!$R$1:$S$100,2,FALSE), " ")</f>
        <v xml:space="preserve"> </v>
      </c>
      <c r="Z167" s="32"/>
      <c r="AA167" s="32"/>
      <c r="AB167" s="32"/>
      <c r="AC167" s="32"/>
      <c r="AD167" s="32"/>
      <c r="AE167" s="31"/>
      <c r="AF167" s="31"/>
      <c r="AG167" s="53"/>
      <c r="AH167" s="21" t="str">
        <f>IFERROR(VLOOKUP(April[[#This Row],[Drug Name4]],'Data Options'!$R$1:$S$100,2,FALSE), " ")</f>
        <v xml:space="preserve"> </v>
      </c>
      <c r="AI167" s="32"/>
      <c r="AJ167" s="32"/>
      <c r="AK167" s="53"/>
      <c r="AL167" s="21" t="str">
        <f>IFERROR(VLOOKUP(April[[#This Row],[Drug Name5]],'Data Options'!$R$1:$S$100,2,FALSE), " ")</f>
        <v xml:space="preserve"> </v>
      </c>
      <c r="AM167" s="32"/>
      <c r="AN167" s="32"/>
      <c r="AO167" s="53"/>
      <c r="AP167" s="21" t="str">
        <f>IFERROR(VLOOKUP(April[[#This Row],[Drug Name6]],'Data Options'!$R$1:$S$100,2,FALSE), " ")</f>
        <v xml:space="preserve"> </v>
      </c>
      <c r="AQ167" s="32"/>
      <c r="AR167" s="32"/>
      <c r="AS167" s="32"/>
      <c r="AT167" s="32"/>
      <c r="AU167" s="32"/>
      <c r="AV167" s="31"/>
      <c r="AW167" s="31"/>
      <c r="AX167" s="53"/>
      <c r="AY167" s="21" t="str">
        <f>IFERROR(VLOOKUP(April[[#This Row],[Drug Name7]],'Data Options'!$R$1:$S$100,2,FALSE), " ")</f>
        <v xml:space="preserve"> </v>
      </c>
      <c r="AZ167" s="32"/>
      <c r="BA167" s="32"/>
      <c r="BB167" s="53"/>
      <c r="BC167" s="21" t="str">
        <f>IFERROR(VLOOKUP(April[[#This Row],[Drug Name8]],'Data Options'!$R$1:$S$100,2,FALSE), " ")</f>
        <v xml:space="preserve"> </v>
      </c>
      <c r="BD167" s="32"/>
      <c r="BE167" s="32"/>
      <c r="BF167" s="53"/>
      <c r="BG167" s="21" t="str">
        <f>IFERROR(VLOOKUP(April[[#This Row],[Drug Name9]],'Data Options'!$R$1:$S$100,2,FALSE), " ")</f>
        <v xml:space="preserve"> </v>
      </c>
      <c r="BH167" s="32"/>
      <c r="BI167" s="32"/>
    </row>
    <row r="168" spans="1:61">
      <c r="A168" s="5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53"/>
      <c r="Q168" s="21" t="str">
        <f>IFERROR(VLOOKUP(April[[#This Row],[Drug Name]],'Data Options'!$R$1:$S$100,2,FALSE), " ")</f>
        <v xml:space="preserve"> </v>
      </c>
      <c r="R168" s="32"/>
      <c r="S168" s="32"/>
      <c r="T168" s="53"/>
      <c r="U168" s="21" t="str">
        <f>IFERROR(VLOOKUP(April[[#This Row],[Drug Name2]],'Data Options'!$R$1:$S$100,2,FALSE), " ")</f>
        <v xml:space="preserve"> </v>
      </c>
      <c r="V168" s="32"/>
      <c r="W168" s="32"/>
      <c r="X168" s="53"/>
      <c r="Y168" s="21" t="str">
        <f>IFERROR(VLOOKUP(April[[#This Row],[Drug Name3]],'Data Options'!$R$1:$S$100,2,FALSE), " ")</f>
        <v xml:space="preserve"> </v>
      </c>
      <c r="Z168" s="32"/>
      <c r="AA168" s="32"/>
      <c r="AB168" s="32"/>
      <c r="AC168" s="32"/>
      <c r="AD168" s="32"/>
      <c r="AE168" s="31"/>
      <c r="AF168" s="31"/>
      <c r="AG168" s="53"/>
      <c r="AH168" s="21" t="str">
        <f>IFERROR(VLOOKUP(April[[#This Row],[Drug Name4]],'Data Options'!$R$1:$S$100,2,FALSE), " ")</f>
        <v xml:space="preserve"> </v>
      </c>
      <c r="AI168" s="32"/>
      <c r="AJ168" s="32"/>
      <c r="AK168" s="53"/>
      <c r="AL168" s="21" t="str">
        <f>IFERROR(VLOOKUP(April[[#This Row],[Drug Name5]],'Data Options'!$R$1:$S$100,2,FALSE), " ")</f>
        <v xml:space="preserve"> </v>
      </c>
      <c r="AM168" s="32"/>
      <c r="AN168" s="32"/>
      <c r="AO168" s="53"/>
      <c r="AP168" s="21" t="str">
        <f>IFERROR(VLOOKUP(April[[#This Row],[Drug Name6]],'Data Options'!$R$1:$S$100,2,FALSE), " ")</f>
        <v xml:space="preserve"> </v>
      </c>
      <c r="AQ168" s="32"/>
      <c r="AR168" s="32"/>
      <c r="AS168" s="32"/>
      <c r="AT168" s="32"/>
      <c r="AU168" s="32"/>
      <c r="AV168" s="31"/>
      <c r="AW168" s="31"/>
      <c r="AX168" s="53"/>
      <c r="AY168" s="21" t="str">
        <f>IFERROR(VLOOKUP(April[[#This Row],[Drug Name7]],'Data Options'!$R$1:$S$100,2,FALSE), " ")</f>
        <v xml:space="preserve"> </v>
      </c>
      <c r="AZ168" s="32"/>
      <c r="BA168" s="32"/>
      <c r="BB168" s="53"/>
      <c r="BC168" s="21" t="str">
        <f>IFERROR(VLOOKUP(April[[#This Row],[Drug Name8]],'Data Options'!$R$1:$S$100,2,FALSE), " ")</f>
        <v xml:space="preserve"> </v>
      </c>
      <c r="BD168" s="32"/>
      <c r="BE168" s="32"/>
      <c r="BF168" s="53"/>
      <c r="BG168" s="21" t="str">
        <f>IFERROR(VLOOKUP(April[[#This Row],[Drug Name9]],'Data Options'!$R$1:$S$100,2,FALSE), " ")</f>
        <v xml:space="preserve"> </v>
      </c>
      <c r="BH168" s="32"/>
      <c r="BI168" s="32"/>
    </row>
    <row r="169" spans="1:61">
      <c r="A169" s="5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53"/>
      <c r="Q169" s="21" t="str">
        <f>IFERROR(VLOOKUP(April[[#This Row],[Drug Name]],'Data Options'!$R$1:$S$100,2,FALSE), " ")</f>
        <v xml:space="preserve"> </v>
      </c>
      <c r="R169" s="32"/>
      <c r="S169" s="32"/>
      <c r="T169" s="53"/>
      <c r="U169" s="21" t="str">
        <f>IFERROR(VLOOKUP(April[[#This Row],[Drug Name2]],'Data Options'!$R$1:$S$100,2,FALSE), " ")</f>
        <v xml:space="preserve"> </v>
      </c>
      <c r="V169" s="32"/>
      <c r="W169" s="32"/>
      <c r="X169" s="53"/>
      <c r="Y169" s="21" t="str">
        <f>IFERROR(VLOOKUP(April[[#This Row],[Drug Name3]],'Data Options'!$R$1:$S$100,2,FALSE), " ")</f>
        <v xml:space="preserve"> </v>
      </c>
      <c r="Z169" s="32"/>
      <c r="AA169" s="32"/>
      <c r="AB169" s="32"/>
      <c r="AC169" s="32"/>
      <c r="AD169" s="32"/>
      <c r="AE169" s="31"/>
      <c r="AF169" s="31"/>
      <c r="AG169" s="53"/>
      <c r="AH169" s="21" t="str">
        <f>IFERROR(VLOOKUP(April[[#This Row],[Drug Name4]],'Data Options'!$R$1:$S$100,2,FALSE), " ")</f>
        <v xml:space="preserve"> </v>
      </c>
      <c r="AI169" s="32"/>
      <c r="AJ169" s="32"/>
      <c r="AK169" s="53"/>
      <c r="AL169" s="21" t="str">
        <f>IFERROR(VLOOKUP(April[[#This Row],[Drug Name5]],'Data Options'!$R$1:$S$100,2,FALSE), " ")</f>
        <v xml:space="preserve"> </v>
      </c>
      <c r="AM169" s="32"/>
      <c r="AN169" s="32"/>
      <c r="AO169" s="53"/>
      <c r="AP169" s="21" t="str">
        <f>IFERROR(VLOOKUP(April[[#This Row],[Drug Name6]],'Data Options'!$R$1:$S$100,2,FALSE), " ")</f>
        <v xml:space="preserve"> </v>
      </c>
      <c r="AQ169" s="32"/>
      <c r="AR169" s="32"/>
      <c r="AS169" s="32"/>
      <c r="AT169" s="32"/>
      <c r="AU169" s="32"/>
      <c r="AV169" s="31"/>
      <c r="AW169" s="31"/>
      <c r="AX169" s="53"/>
      <c r="AY169" s="21" t="str">
        <f>IFERROR(VLOOKUP(April[[#This Row],[Drug Name7]],'Data Options'!$R$1:$S$100,2,FALSE), " ")</f>
        <v xml:space="preserve"> </v>
      </c>
      <c r="AZ169" s="32"/>
      <c r="BA169" s="32"/>
      <c r="BB169" s="53"/>
      <c r="BC169" s="21" t="str">
        <f>IFERROR(VLOOKUP(April[[#This Row],[Drug Name8]],'Data Options'!$R$1:$S$100,2,FALSE), " ")</f>
        <v xml:space="preserve"> </v>
      </c>
      <c r="BD169" s="32"/>
      <c r="BE169" s="32"/>
      <c r="BF169" s="53"/>
      <c r="BG169" s="21" t="str">
        <f>IFERROR(VLOOKUP(April[[#This Row],[Drug Name9]],'Data Options'!$R$1:$S$100,2,FALSE), " ")</f>
        <v xml:space="preserve"> </v>
      </c>
      <c r="BH169" s="32"/>
      <c r="BI169" s="32"/>
    </row>
    <row r="170" spans="1:61">
      <c r="A170" s="5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53"/>
      <c r="Q170" s="21" t="str">
        <f>IFERROR(VLOOKUP(April[[#This Row],[Drug Name]],'Data Options'!$R$1:$S$100,2,FALSE), " ")</f>
        <v xml:space="preserve"> </v>
      </c>
      <c r="R170" s="32"/>
      <c r="S170" s="32"/>
      <c r="T170" s="53"/>
      <c r="U170" s="21" t="str">
        <f>IFERROR(VLOOKUP(April[[#This Row],[Drug Name2]],'Data Options'!$R$1:$S$100,2,FALSE), " ")</f>
        <v xml:space="preserve"> </v>
      </c>
      <c r="V170" s="32"/>
      <c r="W170" s="32"/>
      <c r="X170" s="53"/>
      <c r="Y170" s="21" t="str">
        <f>IFERROR(VLOOKUP(April[[#This Row],[Drug Name3]],'Data Options'!$R$1:$S$100,2,FALSE), " ")</f>
        <v xml:space="preserve"> </v>
      </c>
      <c r="Z170" s="32"/>
      <c r="AA170" s="32"/>
      <c r="AB170" s="32"/>
      <c r="AC170" s="32"/>
      <c r="AD170" s="32"/>
      <c r="AE170" s="31"/>
      <c r="AF170" s="31"/>
      <c r="AG170" s="53"/>
      <c r="AH170" s="21" t="str">
        <f>IFERROR(VLOOKUP(April[[#This Row],[Drug Name4]],'Data Options'!$R$1:$S$100,2,FALSE), " ")</f>
        <v xml:space="preserve"> </v>
      </c>
      <c r="AI170" s="32"/>
      <c r="AJ170" s="32"/>
      <c r="AK170" s="53"/>
      <c r="AL170" s="21" t="str">
        <f>IFERROR(VLOOKUP(April[[#This Row],[Drug Name5]],'Data Options'!$R$1:$S$100,2,FALSE), " ")</f>
        <v xml:space="preserve"> </v>
      </c>
      <c r="AM170" s="32"/>
      <c r="AN170" s="32"/>
      <c r="AO170" s="53"/>
      <c r="AP170" s="21" t="str">
        <f>IFERROR(VLOOKUP(April[[#This Row],[Drug Name6]],'Data Options'!$R$1:$S$100,2,FALSE), " ")</f>
        <v xml:space="preserve"> </v>
      </c>
      <c r="AQ170" s="32"/>
      <c r="AR170" s="32"/>
      <c r="AS170" s="32"/>
      <c r="AT170" s="32"/>
      <c r="AU170" s="32"/>
      <c r="AV170" s="31"/>
      <c r="AW170" s="31"/>
      <c r="AX170" s="53"/>
      <c r="AY170" s="21" t="str">
        <f>IFERROR(VLOOKUP(April[[#This Row],[Drug Name7]],'Data Options'!$R$1:$S$100,2,FALSE), " ")</f>
        <v xml:space="preserve"> </v>
      </c>
      <c r="AZ170" s="32"/>
      <c r="BA170" s="32"/>
      <c r="BB170" s="53"/>
      <c r="BC170" s="21" t="str">
        <f>IFERROR(VLOOKUP(April[[#This Row],[Drug Name8]],'Data Options'!$R$1:$S$100,2,FALSE), " ")</f>
        <v xml:space="preserve"> </v>
      </c>
      <c r="BD170" s="32"/>
      <c r="BE170" s="32"/>
      <c r="BF170" s="53"/>
      <c r="BG170" s="21" t="str">
        <f>IFERROR(VLOOKUP(April[[#This Row],[Drug Name9]],'Data Options'!$R$1:$S$100,2,FALSE), " ")</f>
        <v xml:space="preserve"> </v>
      </c>
      <c r="BH170" s="32"/>
      <c r="BI170" s="32"/>
    </row>
    <row r="171" spans="1:61">
      <c r="A171" s="5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53"/>
      <c r="Q171" s="21" t="str">
        <f>IFERROR(VLOOKUP(April[[#This Row],[Drug Name]],'Data Options'!$R$1:$S$100,2,FALSE), " ")</f>
        <v xml:space="preserve"> </v>
      </c>
      <c r="R171" s="32"/>
      <c r="S171" s="32"/>
      <c r="T171" s="53"/>
      <c r="U171" s="21" t="str">
        <f>IFERROR(VLOOKUP(April[[#This Row],[Drug Name2]],'Data Options'!$R$1:$S$100,2,FALSE), " ")</f>
        <v xml:space="preserve"> </v>
      </c>
      <c r="V171" s="32"/>
      <c r="W171" s="32"/>
      <c r="X171" s="53"/>
      <c r="Y171" s="21" t="str">
        <f>IFERROR(VLOOKUP(April[[#This Row],[Drug Name3]],'Data Options'!$R$1:$S$100,2,FALSE), " ")</f>
        <v xml:space="preserve"> </v>
      </c>
      <c r="Z171" s="32"/>
      <c r="AA171" s="32"/>
      <c r="AB171" s="32"/>
      <c r="AC171" s="32"/>
      <c r="AD171" s="32"/>
      <c r="AE171" s="31"/>
      <c r="AF171" s="31"/>
      <c r="AG171" s="53"/>
      <c r="AH171" s="21" t="str">
        <f>IFERROR(VLOOKUP(April[[#This Row],[Drug Name4]],'Data Options'!$R$1:$S$100,2,FALSE), " ")</f>
        <v xml:space="preserve"> </v>
      </c>
      <c r="AI171" s="32"/>
      <c r="AJ171" s="32"/>
      <c r="AK171" s="53"/>
      <c r="AL171" s="21" t="str">
        <f>IFERROR(VLOOKUP(April[[#This Row],[Drug Name5]],'Data Options'!$R$1:$S$100,2,FALSE), " ")</f>
        <v xml:space="preserve"> </v>
      </c>
      <c r="AM171" s="32"/>
      <c r="AN171" s="32"/>
      <c r="AO171" s="53"/>
      <c r="AP171" s="21" t="str">
        <f>IFERROR(VLOOKUP(April[[#This Row],[Drug Name6]],'Data Options'!$R$1:$S$100,2,FALSE), " ")</f>
        <v xml:space="preserve"> </v>
      </c>
      <c r="AQ171" s="32"/>
      <c r="AR171" s="32"/>
      <c r="AS171" s="32"/>
      <c r="AT171" s="32"/>
      <c r="AU171" s="32"/>
      <c r="AV171" s="31"/>
      <c r="AW171" s="31"/>
      <c r="AX171" s="53"/>
      <c r="AY171" s="21" t="str">
        <f>IFERROR(VLOOKUP(April[[#This Row],[Drug Name7]],'Data Options'!$R$1:$S$100,2,FALSE), " ")</f>
        <v xml:space="preserve"> </v>
      </c>
      <c r="AZ171" s="32"/>
      <c r="BA171" s="32"/>
      <c r="BB171" s="53"/>
      <c r="BC171" s="21" t="str">
        <f>IFERROR(VLOOKUP(April[[#This Row],[Drug Name8]],'Data Options'!$R$1:$S$100,2,FALSE), " ")</f>
        <v xml:space="preserve"> </v>
      </c>
      <c r="BD171" s="32"/>
      <c r="BE171" s="32"/>
      <c r="BF171" s="53"/>
      <c r="BG171" s="21" t="str">
        <f>IFERROR(VLOOKUP(April[[#This Row],[Drug Name9]],'Data Options'!$R$1:$S$100,2,FALSE), " ")</f>
        <v xml:space="preserve"> </v>
      </c>
      <c r="BH171" s="32"/>
      <c r="BI171" s="32"/>
    </row>
    <row r="172" spans="1:61">
      <c r="A172" s="51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53"/>
      <c r="Q172" s="21" t="str">
        <f>IFERROR(VLOOKUP(April[[#This Row],[Drug Name]],'Data Options'!$R$1:$S$100,2,FALSE), " ")</f>
        <v xml:space="preserve"> </v>
      </c>
      <c r="R172" s="32"/>
      <c r="S172" s="32"/>
      <c r="T172" s="53"/>
      <c r="U172" s="21" t="str">
        <f>IFERROR(VLOOKUP(April[[#This Row],[Drug Name2]],'Data Options'!$R$1:$S$100,2,FALSE), " ")</f>
        <v xml:space="preserve"> </v>
      </c>
      <c r="V172" s="32"/>
      <c r="W172" s="32"/>
      <c r="X172" s="53"/>
      <c r="Y172" s="21" t="str">
        <f>IFERROR(VLOOKUP(April[[#This Row],[Drug Name3]],'Data Options'!$R$1:$S$100,2,FALSE), " ")</f>
        <v xml:space="preserve"> </v>
      </c>
      <c r="Z172" s="32"/>
      <c r="AA172" s="32"/>
      <c r="AB172" s="32"/>
      <c r="AC172" s="32"/>
      <c r="AD172" s="32"/>
      <c r="AE172" s="31"/>
      <c r="AF172" s="31"/>
      <c r="AG172" s="53"/>
      <c r="AH172" s="21" t="str">
        <f>IFERROR(VLOOKUP(April[[#This Row],[Drug Name4]],'Data Options'!$R$1:$S$100,2,FALSE), " ")</f>
        <v xml:space="preserve"> </v>
      </c>
      <c r="AI172" s="32"/>
      <c r="AJ172" s="32"/>
      <c r="AK172" s="53"/>
      <c r="AL172" s="21" t="str">
        <f>IFERROR(VLOOKUP(April[[#This Row],[Drug Name5]],'Data Options'!$R$1:$S$100,2,FALSE), " ")</f>
        <v xml:space="preserve"> </v>
      </c>
      <c r="AM172" s="32"/>
      <c r="AN172" s="32"/>
      <c r="AO172" s="53"/>
      <c r="AP172" s="21" t="str">
        <f>IFERROR(VLOOKUP(April[[#This Row],[Drug Name6]],'Data Options'!$R$1:$S$100,2,FALSE), " ")</f>
        <v xml:space="preserve"> </v>
      </c>
      <c r="AQ172" s="32"/>
      <c r="AR172" s="32"/>
      <c r="AS172" s="32"/>
      <c r="AT172" s="32"/>
      <c r="AU172" s="32"/>
      <c r="AV172" s="31"/>
      <c r="AW172" s="31"/>
      <c r="AX172" s="53"/>
      <c r="AY172" s="21" t="str">
        <f>IFERROR(VLOOKUP(April[[#This Row],[Drug Name7]],'Data Options'!$R$1:$S$100,2,FALSE), " ")</f>
        <v xml:space="preserve"> </v>
      </c>
      <c r="AZ172" s="32"/>
      <c r="BA172" s="32"/>
      <c r="BB172" s="53"/>
      <c r="BC172" s="21" t="str">
        <f>IFERROR(VLOOKUP(April[[#This Row],[Drug Name8]],'Data Options'!$R$1:$S$100,2,FALSE), " ")</f>
        <v xml:space="preserve"> </v>
      </c>
      <c r="BD172" s="32"/>
      <c r="BE172" s="32"/>
      <c r="BF172" s="53"/>
      <c r="BG172" s="21" t="str">
        <f>IFERROR(VLOOKUP(April[[#This Row],[Drug Name9]],'Data Options'!$R$1:$S$100,2,FALSE), " ")</f>
        <v xml:space="preserve"> </v>
      </c>
      <c r="BH172" s="32"/>
      <c r="BI172" s="32"/>
    </row>
    <row r="173" spans="1:61">
      <c r="A173" s="5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53"/>
      <c r="Q173" s="21" t="str">
        <f>IFERROR(VLOOKUP(April[[#This Row],[Drug Name]],'Data Options'!$R$1:$S$100,2,FALSE), " ")</f>
        <v xml:space="preserve"> </v>
      </c>
      <c r="R173" s="32"/>
      <c r="S173" s="32"/>
      <c r="T173" s="53"/>
      <c r="U173" s="21" t="str">
        <f>IFERROR(VLOOKUP(April[[#This Row],[Drug Name2]],'Data Options'!$R$1:$S$100,2,FALSE), " ")</f>
        <v xml:space="preserve"> </v>
      </c>
      <c r="V173" s="32"/>
      <c r="W173" s="32"/>
      <c r="X173" s="53"/>
      <c r="Y173" s="21" t="str">
        <f>IFERROR(VLOOKUP(April[[#This Row],[Drug Name3]],'Data Options'!$R$1:$S$100,2,FALSE), " ")</f>
        <v xml:space="preserve"> </v>
      </c>
      <c r="Z173" s="32"/>
      <c r="AA173" s="32"/>
      <c r="AB173" s="32"/>
      <c r="AC173" s="32"/>
      <c r="AD173" s="32"/>
      <c r="AE173" s="31"/>
      <c r="AF173" s="31"/>
      <c r="AG173" s="53"/>
      <c r="AH173" s="21" t="str">
        <f>IFERROR(VLOOKUP(April[[#This Row],[Drug Name4]],'Data Options'!$R$1:$S$100,2,FALSE), " ")</f>
        <v xml:space="preserve"> </v>
      </c>
      <c r="AI173" s="32"/>
      <c r="AJ173" s="32"/>
      <c r="AK173" s="53"/>
      <c r="AL173" s="21" t="str">
        <f>IFERROR(VLOOKUP(April[[#This Row],[Drug Name5]],'Data Options'!$R$1:$S$100,2,FALSE), " ")</f>
        <v xml:space="preserve"> </v>
      </c>
      <c r="AM173" s="32"/>
      <c r="AN173" s="32"/>
      <c r="AO173" s="53"/>
      <c r="AP173" s="21" t="str">
        <f>IFERROR(VLOOKUP(April[[#This Row],[Drug Name6]],'Data Options'!$R$1:$S$100,2,FALSE), " ")</f>
        <v xml:space="preserve"> </v>
      </c>
      <c r="AQ173" s="32"/>
      <c r="AR173" s="32"/>
      <c r="AS173" s="32"/>
      <c r="AT173" s="32"/>
      <c r="AU173" s="32"/>
      <c r="AV173" s="31"/>
      <c r="AW173" s="31"/>
      <c r="AX173" s="53"/>
      <c r="AY173" s="21" t="str">
        <f>IFERROR(VLOOKUP(April[[#This Row],[Drug Name7]],'Data Options'!$R$1:$S$100,2,FALSE), " ")</f>
        <v xml:space="preserve"> </v>
      </c>
      <c r="AZ173" s="32"/>
      <c r="BA173" s="32"/>
      <c r="BB173" s="53"/>
      <c r="BC173" s="21" t="str">
        <f>IFERROR(VLOOKUP(April[[#This Row],[Drug Name8]],'Data Options'!$R$1:$S$100,2,FALSE), " ")</f>
        <v xml:space="preserve"> </v>
      </c>
      <c r="BD173" s="32"/>
      <c r="BE173" s="32"/>
      <c r="BF173" s="53"/>
      <c r="BG173" s="21" t="str">
        <f>IFERROR(VLOOKUP(April[[#This Row],[Drug Name9]],'Data Options'!$R$1:$S$100,2,FALSE), " ")</f>
        <v xml:space="preserve"> </v>
      </c>
      <c r="BH173" s="32"/>
      <c r="BI173" s="32"/>
    </row>
    <row r="174" spans="1:61">
      <c r="A174" s="5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53"/>
      <c r="Q174" s="21" t="str">
        <f>IFERROR(VLOOKUP(April[[#This Row],[Drug Name]],'Data Options'!$R$1:$S$100,2,FALSE), " ")</f>
        <v xml:space="preserve"> </v>
      </c>
      <c r="R174" s="32"/>
      <c r="S174" s="32"/>
      <c r="T174" s="53"/>
      <c r="U174" s="21" t="str">
        <f>IFERROR(VLOOKUP(April[[#This Row],[Drug Name2]],'Data Options'!$R$1:$S$100,2,FALSE), " ")</f>
        <v xml:space="preserve"> </v>
      </c>
      <c r="V174" s="32"/>
      <c r="W174" s="32"/>
      <c r="X174" s="53"/>
      <c r="Y174" s="21" t="str">
        <f>IFERROR(VLOOKUP(April[[#This Row],[Drug Name3]],'Data Options'!$R$1:$S$100,2,FALSE), " ")</f>
        <v xml:space="preserve"> </v>
      </c>
      <c r="Z174" s="32"/>
      <c r="AA174" s="32"/>
      <c r="AB174" s="32"/>
      <c r="AC174" s="32"/>
      <c r="AD174" s="32"/>
      <c r="AE174" s="31"/>
      <c r="AF174" s="31"/>
      <c r="AG174" s="53"/>
      <c r="AH174" s="21" t="str">
        <f>IFERROR(VLOOKUP(April[[#This Row],[Drug Name4]],'Data Options'!$R$1:$S$100,2,FALSE), " ")</f>
        <v xml:space="preserve"> </v>
      </c>
      <c r="AI174" s="32"/>
      <c r="AJ174" s="32"/>
      <c r="AK174" s="53"/>
      <c r="AL174" s="21" t="str">
        <f>IFERROR(VLOOKUP(April[[#This Row],[Drug Name5]],'Data Options'!$R$1:$S$100,2,FALSE), " ")</f>
        <v xml:space="preserve"> </v>
      </c>
      <c r="AM174" s="32"/>
      <c r="AN174" s="32"/>
      <c r="AO174" s="53"/>
      <c r="AP174" s="21" t="str">
        <f>IFERROR(VLOOKUP(April[[#This Row],[Drug Name6]],'Data Options'!$R$1:$S$100,2,FALSE), " ")</f>
        <v xml:space="preserve"> </v>
      </c>
      <c r="AQ174" s="32"/>
      <c r="AR174" s="32"/>
      <c r="AS174" s="32"/>
      <c r="AT174" s="32"/>
      <c r="AU174" s="32"/>
      <c r="AV174" s="31"/>
      <c r="AW174" s="31"/>
      <c r="AX174" s="53"/>
      <c r="AY174" s="21" t="str">
        <f>IFERROR(VLOOKUP(April[[#This Row],[Drug Name7]],'Data Options'!$R$1:$S$100,2,FALSE), " ")</f>
        <v xml:space="preserve"> </v>
      </c>
      <c r="AZ174" s="32"/>
      <c r="BA174" s="32"/>
      <c r="BB174" s="53"/>
      <c r="BC174" s="21" t="str">
        <f>IFERROR(VLOOKUP(April[[#This Row],[Drug Name8]],'Data Options'!$R$1:$S$100,2,FALSE), " ")</f>
        <v xml:space="preserve"> </v>
      </c>
      <c r="BD174" s="32"/>
      <c r="BE174" s="32"/>
      <c r="BF174" s="53"/>
      <c r="BG174" s="21" t="str">
        <f>IFERROR(VLOOKUP(April[[#This Row],[Drug Name9]],'Data Options'!$R$1:$S$100,2,FALSE), " ")</f>
        <v xml:space="preserve"> </v>
      </c>
      <c r="BH174" s="32"/>
      <c r="BI174" s="32"/>
    </row>
    <row r="175" spans="1:61">
      <c r="A175" s="5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53"/>
      <c r="Q175" s="21" t="str">
        <f>IFERROR(VLOOKUP(April[[#This Row],[Drug Name]],'Data Options'!$R$1:$S$100,2,FALSE), " ")</f>
        <v xml:space="preserve"> </v>
      </c>
      <c r="R175" s="32"/>
      <c r="S175" s="32"/>
      <c r="T175" s="53"/>
      <c r="U175" s="21" t="str">
        <f>IFERROR(VLOOKUP(April[[#This Row],[Drug Name2]],'Data Options'!$R$1:$S$100,2,FALSE), " ")</f>
        <v xml:space="preserve"> </v>
      </c>
      <c r="V175" s="32"/>
      <c r="W175" s="32"/>
      <c r="X175" s="53"/>
      <c r="Y175" s="21" t="str">
        <f>IFERROR(VLOOKUP(April[[#This Row],[Drug Name3]],'Data Options'!$R$1:$S$100,2,FALSE), " ")</f>
        <v xml:space="preserve"> </v>
      </c>
      <c r="Z175" s="32"/>
      <c r="AA175" s="32"/>
      <c r="AB175" s="32"/>
      <c r="AC175" s="32"/>
      <c r="AD175" s="32"/>
      <c r="AE175" s="31"/>
      <c r="AF175" s="31"/>
      <c r="AG175" s="53"/>
      <c r="AH175" s="21" t="str">
        <f>IFERROR(VLOOKUP(April[[#This Row],[Drug Name4]],'Data Options'!$R$1:$S$100,2,FALSE), " ")</f>
        <v xml:space="preserve"> </v>
      </c>
      <c r="AI175" s="32"/>
      <c r="AJ175" s="32"/>
      <c r="AK175" s="53"/>
      <c r="AL175" s="21" t="str">
        <f>IFERROR(VLOOKUP(April[[#This Row],[Drug Name5]],'Data Options'!$R$1:$S$100,2,FALSE), " ")</f>
        <v xml:space="preserve"> </v>
      </c>
      <c r="AM175" s="32"/>
      <c r="AN175" s="32"/>
      <c r="AO175" s="53"/>
      <c r="AP175" s="21" t="str">
        <f>IFERROR(VLOOKUP(April[[#This Row],[Drug Name6]],'Data Options'!$R$1:$S$100,2,FALSE), " ")</f>
        <v xml:space="preserve"> </v>
      </c>
      <c r="AQ175" s="32"/>
      <c r="AR175" s="32"/>
      <c r="AS175" s="32"/>
      <c r="AT175" s="32"/>
      <c r="AU175" s="32"/>
      <c r="AV175" s="31"/>
      <c r="AW175" s="31"/>
      <c r="AX175" s="53"/>
      <c r="AY175" s="21" t="str">
        <f>IFERROR(VLOOKUP(April[[#This Row],[Drug Name7]],'Data Options'!$R$1:$S$100,2,FALSE), " ")</f>
        <v xml:space="preserve"> </v>
      </c>
      <c r="AZ175" s="32"/>
      <c r="BA175" s="32"/>
      <c r="BB175" s="53"/>
      <c r="BC175" s="21" t="str">
        <f>IFERROR(VLOOKUP(April[[#This Row],[Drug Name8]],'Data Options'!$R$1:$S$100,2,FALSE), " ")</f>
        <v xml:space="preserve"> </v>
      </c>
      <c r="BD175" s="32"/>
      <c r="BE175" s="32"/>
      <c r="BF175" s="53"/>
      <c r="BG175" s="21" t="str">
        <f>IFERROR(VLOOKUP(April[[#This Row],[Drug Name9]],'Data Options'!$R$1:$S$100,2,FALSE), " ")</f>
        <v xml:space="preserve"> </v>
      </c>
      <c r="BH175" s="32"/>
      <c r="BI175" s="32"/>
    </row>
    <row r="176" spans="1:61">
      <c r="A176" s="5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53"/>
      <c r="Q176" s="21" t="str">
        <f>IFERROR(VLOOKUP(April[[#This Row],[Drug Name]],'Data Options'!$R$1:$S$100,2,FALSE), " ")</f>
        <v xml:space="preserve"> </v>
      </c>
      <c r="R176" s="32"/>
      <c r="S176" s="32"/>
      <c r="T176" s="53"/>
      <c r="U176" s="21" t="str">
        <f>IFERROR(VLOOKUP(April[[#This Row],[Drug Name2]],'Data Options'!$R$1:$S$100,2,FALSE), " ")</f>
        <v xml:space="preserve"> </v>
      </c>
      <c r="V176" s="32"/>
      <c r="W176" s="32"/>
      <c r="X176" s="53"/>
      <c r="Y176" s="21" t="str">
        <f>IFERROR(VLOOKUP(April[[#This Row],[Drug Name3]],'Data Options'!$R$1:$S$100,2,FALSE), " ")</f>
        <v xml:space="preserve"> </v>
      </c>
      <c r="Z176" s="32"/>
      <c r="AA176" s="32"/>
      <c r="AB176" s="32"/>
      <c r="AC176" s="32"/>
      <c r="AD176" s="32"/>
      <c r="AE176" s="31"/>
      <c r="AF176" s="31"/>
      <c r="AG176" s="53"/>
      <c r="AH176" s="21" t="str">
        <f>IFERROR(VLOOKUP(April[[#This Row],[Drug Name4]],'Data Options'!$R$1:$S$100,2,FALSE), " ")</f>
        <v xml:space="preserve"> </v>
      </c>
      <c r="AI176" s="32"/>
      <c r="AJ176" s="32"/>
      <c r="AK176" s="53"/>
      <c r="AL176" s="21" t="str">
        <f>IFERROR(VLOOKUP(April[[#This Row],[Drug Name5]],'Data Options'!$R$1:$S$100,2,FALSE), " ")</f>
        <v xml:space="preserve"> </v>
      </c>
      <c r="AM176" s="32"/>
      <c r="AN176" s="32"/>
      <c r="AO176" s="53"/>
      <c r="AP176" s="21" t="str">
        <f>IFERROR(VLOOKUP(April[[#This Row],[Drug Name6]],'Data Options'!$R$1:$S$100,2,FALSE), " ")</f>
        <v xml:space="preserve"> </v>
      </c>
      <c r="AQ176" s="32"/>
      <c r="AR176" s="32"/>
      <c r="AS176" s="32"/>
      <c r="AT176" s="32"/>
      <c r="AU176" s="32"/>
      <c r="AV176" s="31"/>
      <c r="AW176" s="31"/>
      <c r="AX176" s="53"/>
      <c r="AY176" s="21" t="str">
        <f>IFERROR(VLOOKUP(April[[#This Row],[Drug Name7]],'Data Options'!$R$1:$S$100,2,FALSE), " ")</f>
        <v xml:space="preserve"> </v>
      </c>
      <c r="AZ176" s="32"/>
      <c r="BA176" s="32"/>
      <c r="BB176" s="53"/>
      <c r="BC176" s="21" t="str">
        <f>IFERROR(VLOOKUP(April[[#This Row],[Drug Name8]],'Data Options'!$R$1:$S$100,2,FALSE), " ")</f>
        <v xml:space="preserve"> </v>
      </c>
      <c r="BD176" s="32"/>
      <c r="BE176" s="32"/>
      <c r="BF176" s="53"/>
      <c r="BG176" s="21" t="str">
        <f>IFERROR(VLOOKUP(April[[#This Row],[Drug Name9]],'Data Options'!$R$1:$S$100,2,FALSE), " ")</f>
        <v xml:space="preserve"> </v>
      </c>
      <c r="BH176" s="32"/>
      <c r="BI176" s="32"/>
    </row>
    <row r="177" spans="1:61">
      <c r="A177" s="5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53"/>
      <c r="Q177" s="21" t="str">
        <f>IFERROR(VLOOKUP(April[[#This Row],[Drug Name]],'Data Options'!$R$1:$S$100,2,FALSE), " ")</f>
        <v xml:space="preserve"> </v>
      </c>
      <c r="R177" s="32"/>
      <c r="S177" s="32"/>
      <c r="T177" s="53"/>
      <c r="U177" s="21" t="str">
        <f>IFERROR(VLOOKUP(April[[#This Row],[Drug Name2]],'Data Options'!$R$1:$S$100,2,FALSE), " ")</f>
        <v xml:space="preserve"> </v>
      </c>
      <c r="V177" s="32"/>
      <c r="W177" s="32"/>
      <c r="X177" s="53"/>
      <c r="Y177" s="21" t="str">
        <f>IFERROR(VLOOKUP(April[[#This Row],[Drug Name3]],'Data Options'!$R$1:$S$100,2,FALSE), " ")</f>
        <v xml:space="preserve"> </v>
      </c>
      <c r="Z177" s="32"/>
      <c r="AA177" s="32"/>
      <c r="AB177" s="32"/>
      <c r="AC177" s="32"/>
      <c r="AD177" s="32"/>
      <c r="AE177" s="31"/>
      <c r="AF177" s="31"/>
      <c r="AG177" s="53"/>
      <c r="AH177" s="21" t="str">
        <f>IFERROR(VLOOKUP(April[[#This Row],[Drug Name4]],'Data Options'!$R$1:$S$100,2,FALSE), " ")</f>
        <v xml:space="preserve"> </v>
      </c>
      <c r="AI177" s="32"/>
      <c r="AJ177" s="32"/>
      <c r="AK177" s="53"/>
      <c r="AL177" s="21" t="str">
        <f>IFERROR(VLOOKUP(April[[#This Row],[Drug Name5]],'Data Options'!$R$1:$S$100,2,FALSE), " ")</f>
        <v xml:space="preserve"> </v>
      </c>
      <c r="AM177" s="32"/>
      <c r="AN177" s="32"/>
      <c r="AO177" s="53"/>
      <c r="AP177" s="21" t="str">
        <f>IFERROR(VLOOKUP(April[[#This Row],[Drug Name6]],'Data Options'!$R$1:$S$100,2,FALSE), " ")</f>
        <v xml:space="preserve"> </v>
      </c>
      <c r="AQ177" s="32"/>
      <c r="AR177" s="32"/>
      <c r="AS177" s="32"/>
      <c r="AT177" s="32"/>
      <c r="AU177" s="32"/>
      <c r="AV177" s="31"/>
      <c r="AW177" s="31"/>
      <c r="AX177" s="53"/>
      <c r="AY177" s="21" t="str">
        <f>IFERROR(VLOOKUP(April[[#This Row],[Drug Name7]],'Data Options'!$R$1:$S$100,2,FALSE), " ")</f>
        <v xml:space="preserve"> </v>
      </c>
      <c r="AZ177" s="32"/>
      <c r="BA177" s="32"/>
      <c r="BB177" s="53"/>
      <c r="BC177" s="21" t="str">
        <f>IFERROR(VLOOKUP(April[[#This Row],[Drug Name8]],'Data Options'!$R$1:$S$100,2,FALSE), " ")</f>
        <v xml:space="preserve"> </v>
      </c>
      <c r="BD177" s="32"/>
      <c r="BE177" s="32"/>
      <c r="BF177" s="53"/>
      <c r="BG177" s="21" t="str">
        <f>IFERROR(VLOOKUP(April[[#This Row],[Drug Name9]],'Data Options'!$R$1:$S$100,2,FALSE), " ")</f>
        <v xml:space="preserve"> </v>
      </c>
      <c r="BH177" s="32"/>
      <c r="BI177" s="32"/>
    </row>
    <row r="178" spans="1:61">
      <c r="A178" s="5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53"/>
      <c r="Q178" s="21" t="str">
        <f>IFERROR(VLOOKUP(April[[#This Row],[Drug Name]],'Data Options'!$R$1:$S$100,2,FALSE), " ")</f>
        <v xml:space="preserve"> </v>
      </c>
      <c r="R178" s="32"/>
      <c r="S178" s="32"/>
      <c r="T178" s="53"/>
      <c r="U178" s="21" t="str">
        <f>IFERROR(VLOOKUP(April[[#This Row],[Drug Name2]],'Data Options'!$R$1:$S$100,2,FALSE), " ")</f>
        <v xml:space="preserve"> </v>
      </c>
      <c r="V178" s="32"/>
      <c r="W178" s="32"/>
      <c r="X178" s="53"/>
      <c r="Y178" s="21" t="str">
        <f>IFERROR(VLOOKUP(April[[#This Row],[Drug Name3]],'Data Options'!$R$1:$S$100,2,FALSE), " ")</f>
        <v xml:space="preserve"> </v>
      </c>
      <c r="Z178" s="32"/>
      <c r="AA178" s="32"/>
      <c r="AB178" s="32"/>
      <c r="AC178" s="32"/>
      <c r="AD178" s="32"/>
      <c r="AE178" s="31"/>
      <c r="AF178" s="31"/>
      <c r="AG178" s="53"/>
      <c r="AH178" s="21" t="str">
        <f>IFERROR(VLOOKUP(April[[#This Row],[Drug Name4]],'Data Options'!$R$1:$S$100,2,FALSE), " ")</f>
        <v xml:space="preserve"> </v>
      </c>
      <c r="AI178" s="32"/>
      <c r="AJ178" s="32"/>
      <c r="AK178" s="53"/>
      <c r="AL178" s="21" t="str">
        <f>IFERROR(VLOOKUP(April[[#This Row],[Drug Name5]],'Data Options'!$R$1:$S$100,2,FALSE), " ")</f>
        <v xml:space="preserve"> </v>
      </c>
      <c r="AM178" s="32"/>
      <c r="AN178" s="32"/>
      <c r="AO178" s="53"/>
      <c r="AP178" s="21" t="str">
        <f>IFERROR(VLOOKUP(April[[#This Row],[Drug Name6]],'Data Options'!$R$1:$S$100,2,FALSE), " ")</f>
        <v xml:space="preserve"> </v>
      </c>
      <c r="AQ178" s="32"/>
      <c r="AR178" s="32"/>
      <c r="AS178" s="32"/>
      <c r="AT178" s="32"/>
      <c r="AU178" s="32"/>
      <c r="AV178" s="31"/>
      <c r="AW178" s="31"/>
      <c r="AX178" s="53"/>
      <c r="AY178" s="21" t="str">
        <f>IFERROR(VLOOKUP(April[[#This Row],[Drug Name7]],'Data Options'!$R$1:$S$100,2,FALSE), " ")</f>
        <v xml:space="preserve"> </v>
      </c>
      <c r="AZ178" s="32"/>
      <c r="BA178" s="32"/>
      <c r="BB178" s="53"/>
      <c r="BC178" s="21" t="str">
        <f>IFERROR(VLOOKUP(April[[#This Row],[Drug Name8]],'Data Options'!$R$1:$S$100,2,FALSE), " ")</f>
        <v xml:space="preserve"> </v>
      </c>
      <c r="BD178" s="32"/>
      <c r="BE178" s="32"/>
      <c r="BF178" s="53"/>
      <c r="BG178" s="21" t="str">
        <f>IFERROR(VLOOKUP(April[[#This Row],[Drug Name9]],'Data Options'!$R$1:$S$100,2,FALSE), " ")</f>
        <v xml:space="preserve"> </v>
      </c>
      <c r="BH178" s="32"/>
      <c r="BI178" s="32"/>
    </row>
    <row r="179" spans="1:61">
      <c r="A179" s="5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53"/>
      <c r="Q179" s="21" t="str">
        <f>IFERROR(VLOOKUP(April[[#This Row],[Drug Name]],'Data Options'!$R$1:$S$100,2,FALSE), " ")</f>
        <v xml:space="preserve"> </v>
      </c>
      <c r="R179" s="32"/>
      <c r="S179" s="32"/>
      <c r="T179" s="53"/>
      <c r="U179" s="21" t="str">
        <f>IFERROR(VLOOKUP(April[[#This Row],[Drug Name2]],'Data Options'!$R$1:$S$100,2,FALSE), " ")</f>
        <v xml:space="preserve"> </v>
      </c>
      <c r="V179" s="32"/>
      <c r="W179" s="32"/>
      <c r="X179" s="53"/>
      <c r="Y179" s="21" t="str">
        <f>IFERROR(VLOOKUP(April[[#This Row],[Drug Name3]],'Data Options'!$R$1:$S$100,2,FALSE), " ")</f>
        <v xml:space="preserve"> </v>
      </c>
      <c r="Z179" s="32"/>
      <c r="AA179" s="32"/>
      <c r="AB179" s="32"/>
      <c r="AC179" s="32"/>
      <c r="AD179" s="32"/>
      <c r="AE179" s="31"/>
      <c r="AF179" s="31"/>
      <c r="AG179" s="53"/>
      <c r="AH179" s="21" t="str">
        <f>IFERROR(VLOOKUP(April[[#This Row],[Drug Name4]],'Data Options'!$R$1:$S$100,2,FALSE), " ")</f>
        <v xml:space="preserve"> </v>
      </c>
      <c r="AI179" s="32"/>
      <c r="AJ179" s="32"/>
      <c r="AK179" s="53"/>
      <c r="AL179" s="21" t="str">
        <f>IFERROR(VLOOKUP(April[[#This Row],[Drug Name5]],'Data Options'!$R$1:$S$100,2,FALSE), " ")</f>
        <v xml:space="preserve"> </v>
      </c>
      <c r="AM179" s="32"/>
      <c r="AN179" s="32"/>
      <c r="AO179" s="53"/>
      <c r="AP179" s="21" t="str">
        <f>IFERROR(VLOOKUP(April[[#This Row],[Drug Name6]],'Data Options'!$R$1:$S$100,2,FALSE), " ")</f>
        <v xml:space="preserve"> </v>
      </c>
      <c r="AQ179" s="32"/>
      <c r="AR179" s="32"/>
      <c r="AS179" s="32"/>
      <c r="AT179" s="32"/>
      <c r="AU179" s="32"/>
      <c r="AV179" s="31"/>
      <c r="AW179" s="31"/>
      <c r="AX179" s="53"/>
      <c r="AY179" s="21" t="str">
        <f>IFERROR(VLOOKUP(April[[#This Row],[Drug Name7]],'Data Options'!$R$1:$S$100,2,FALSE), " ")</f>
        <v xml:space="preserve"> </v>
      </c>
      <c r="AZ179" s="32"/>
      <c r="BA179" s="32"/>
      <c r="BB179" s="53"/>
      <c r="BC179" s="21" t="str">
        <f>IFERROR(VLOOKUP(April[[#This Row],[Drug Name8]],'Data Options'!$R$1:$S$100,2,FALSE), " ")</f>
        <v xml:space="preserve"> </v>
      </c>
      <c r="BD179" s="32"/>
      <c r="BE179" s="32"/>
      <c r="BF179" s="53"/>
      <c r="BG179" s="21" t="str">
        <f>IFERROR(VLOOKUP(April[[#This Row],[Drug Name9]],'Data Options'!$R$1:$S$100,2,FALSE), " ")</f>
        <v xml:space="preserve"> </v>
      </c>
      <c r="BH179" s="32"/>
      <c r="BI179" s="32"/>
    </row>
    <row r="180" spans="1:61">
      <c r="A180" s="5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53"/>
      <c r="Q180" s="21" t="str">
        <f>IFERROR(VLOOKUP(April[[#This Row],[Drug Name]],'Data Options'!$R$1:$S$100,2,FALSE), " ")</f>
        <v xml:space="preserve"> </v>
      </c>
      <c r="R180" s="32"/>
      <c r="S180" s="32"/>
      <c r="T180" s="53"/>
      <c r="U180" s="21" t="str">
        <f>IFERROR(VLOOKUP(April[[#This Row],[Drug Name2]],'Data Options'!$R$1:$S$100,2,FALSE), " ")</f>
        <v xml:space="preserve"> </v>
      </c>
      <c r="V180" s="32"/>
      <c r="W180" s="32"/>
      <c r="X180" s="53"/>
      <c r="Y180" s="21" t="str">
        <f>IFERROR(VLOOKUP(April[[#This Row],[Drug Name3]],'Data Options'!$R$1:$S$100,2,FALSE), " ")</f>
        <v xml:space="preserve"> </v>
      </c>
      <c r="Z180" s="32"/>
      <c r="AA180" s="32"/>
      <c r="AB180" s="32"/>
      <c r="AC180" s="32"/>
      <c r="AD180" s="32"/>
      <c r="AE180" s="31"/>
      <c r="AF180" s="31"/>
      <c r="AG180" s="53"/>
      <c r="AH180" s="21" t="str">
        <f>IFERROR(VLOOKUP(April[[#This Row],[Drug Name4]],'Data Options'!$R$1:$S$100,2,FALSE), " ")</f>
        <v xml:space="preserve"> </v>
      </c>
      <c r="AI180" s="32"/>
      <c r="AJ180" s="32"/>
      <c r="AK180" s="53"/>
      <c r="AL180" s="21" t="str">
        <f>IFERROR(VLOOKUP(April[[#This Row],[Drug Name5]],'Data Options'!$R$1:$S$100,2,FALSE), " ")</f>
        <v xml:space="preserve"> </v>
      </c>
      <c r="AM180" s="32"/>
      <c r="AN180" s="32"/>
      <c r="AO180" s="53"/>
      <c r="AP180" s="21" t="str">
        <f>IFERROR(VLOOKUP(April[[#This Row],[Drug Name6]],'Data Options'!$R$1:$S$100,2,FALSE), " ")</f>
        <v xml:space="preserve"> </v>
      </c>
      <c r="AQ180" s="32"/>
      <c r="AR180" s="32"/>
      <c r="AS180" s="32"/>
      <c r="AT180" s="32"/>
      <c r="AU180" s="32"/>
      <c r="AV180" s="31"/>
      <c r="AW180" s="31"/>
      <c r="AX180" s="53"/>
      <c r="AY180" s="21" t="str">
        <f>IFERROR(VLOOKUP(April[[#This Row],[Drug Name7]],'Data Options'!$R$1:$S$100,2,FALSE), " ")</f>
        <v xml:space="preserve"> </v>
      </c>
      <c r="AZ180" s="32"/>
      <c r="BA180" s="32"/>
      <c r="BB180" s="53"/>
      <c r="BC180" s="21" t="str">
        <f>IFERROR(VLOOKUP(April[[#This Row],[Drug Name8]],'Data Options'!$R$1:$S$100,2,FALSE), " ")</f>
        <v xml:space="preserve"> </v>
      </c>
      <c r="BD180" s="32"/>
      <c r="BE180" s="32"/>
      <c r="BF180" s="53"/>
      <c r="BG180" s="21" t="str">
        <f>IFERROR(VLOOKUP(April[[#This Row],[Drug Name9]],'Data Options'!$R$1:$S$100,2,FALSE), " ")</f>
        <v xml:space="preserve"> </v>
      </c>
      <c r="BH180" s="32"/>
      <c r="BI180" s="32"/>
    </row>
    <row r="181" spans="1:61">
      <c r="A181" s="5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53"/>
      <c r="Q181" s="21" t="str">
        <f>IFERROR(VLOOKUP(April[[#This Row],[Drug Name]],'Data Options'!$R$1:$S$100,2,FALSE), " ")</f>
        <v xml:space="preserve"> </v>
      </c>
      <c r="R181" s="32"/>
      <c r="S181" s="32"/>
      <c r="T181" s="53"/>
      <c r="U181" s="21" t="str">
        <f>IFERROR(VLOOKUP(April[[#This Row],[Drug Name2]],'Data Options'!$R$1:$S$100,2,FALSE), " ")</f>
        <v xml:space="preserve"> </v>
      </c>
      <c r="V181" s="32"/>
      <c r="W181" s="32"/>
      <c r="X181" s="53"/>
      <c r="Y181" s="21" t="str">
        <f>IFERROR(VLOOKUP(April[[#This Row],[Drug Name3]],'Data Options'!$R$1:$S$100,2,FALSE), " ")</f>
        <v xml:space="preserve"> </v>
      </c>
      <c r="Z181" s="32"/>
      <c r="AA181" s="32"/>
      <c r="AB181" s="32"/>
      <c r="AC181" s="32"/>
      <c r="AD181" s="32"/>
      <c r="AE181" s="31"/>
      <c r="AF181" s="31"/>
      <c r="AG181" s="53"/>
      <c r="AH181" s="21" t="str">
        <f>IFERROR(VLOOKUP(April[[#This Row],[Drug Name4]],'Data Options'!$R$1:$S$100,2,FALSE), " ")</f>
        <v xml:space="preserve"> </v>
      </c>
      <c r="AI181" s="32"/>
      <c r="AJ181" s="32"/>
      <c r="AK181" s="53"/>
      <c r="AL181" s="21" t="str">
        <f>IFERROR(VLOOKUP(April[[#This Row],[Drug Name5]],'Data Options'!$R$1:$S$100,2,FALSE), " ")</f>
        <v xml:space="preserve"> </v>
      </c>
      <c r="AM181" s="32"/>
      <c r="AN181" s="32"/>
      <c r="AO181" s="53"/>
      <c r="AP181" s="21" t="str">
        <f>IFERROR(VLOOKUP(April[[#This Row],[Drug Name6]],'Data Options'!$R$1:$S$100,2,FALSE), " ")</f>
        <v xml:space="preserve"> </v>
      </c>
      <c r="AQ181" s="32"/>
      <c r="AR181" s="32"/>
      <c r="AS181" s="32"/>
      <c r="AT181" s="32"/>
      <c r="AU181" s="32"/>
      <c r="AV181" s="31"/>
      <c r="AW181" s="31"/>
      <c r="AX181" s="53"/>
      <c r="AY181" s="21" t="str">
        <f>IFERROR(VLOOKUP(April[[#This Row],[Drug Name7]],'Data Options'!$R$1:$S$100,2,FALSE), " ")</f>
        <v xml:space="preserve"> </v>
      </c>
      <c r="AZ181" s="32"/>
      <c r="BA181" s="32"/>
      <c r="BB181" s="53"/>
      <c r="BC181" s="21" t="str">
        <f>IFERROR(VLOOKUP(April[[#This Row],[Drug Name8]],'Data Options'!$R$1:$S$100,2,FALSE), " ")</f>
        <v xml:space="preserve"> </v>
      </c>
      <c r="BD181" s="32"/>
      <c r="BE181" s="32"/>
      <c r="BF181" s="53"/>
      <c r="BG181" s="21" t="str">
        <f>IFERROR(VLOOKUP(April[[#This Row],[Drug Name9]],'Data Options'!$R$1:$S$100,2,FALSE), " ")</f>
        <v xml:space="preserve"> </v>
      </c>
      <c r="BH181" s="32"/>
      <c r="BI181" s="32"/>
    </row>
    <row r="182" spans="1:61">
      <c r="A182" s="5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53"/>
      <c r="Q182" s="21" t="str">
        <f>IFERROR(VLOOKUP(April[[#This Row],[Drug Name]],'Data Options'!$R$1:$S$100,2,FALSE), " ")</f>
        <v xml:space="preserve"> </v>
      </c>
      <c r="R182" s="32"/>
      <c r="S182" s="32"/>
      <c r="T182" s="53"/>
      <c r="U182" s="21" t="str">
        <f>IFERROR(VLOOKUP(April[[#This Row],[Drug Name2]],'Data Options'!$R$1:$S$100,2,FALSE), " ")</f>
        <v xml:space="preserve"> </v>
      </c>
      <c r="V182" s="32"/>
      <c r="W182" s="32"/>
      <c r="X182" s="53"/>
      <c r="Y182" s="21" t="str">
        <f>IFERROR(VLOOKUP(April[[#This Row],[Drug Name3]],'Data Options'!$R$1:$S$100,2,FALSE), " ")</f>
        <v xml:space="preserve"> </v>
      </c>
      <c r="Z182" s="32"/>
      <c r="AA182" s="32"/>
      <c r="AB182" s="32"/>
      <c r="AC182" s="32"/>
      <c r="AD182" s="32"/>
      <c r="AE182" s="31"/>
      <c r="AF182" s="31"/>
      <c r="AG182" s="53"/>
      <c r="AH182" s="21" t="str">
        <f>IFERROR(VLOOKUP(April[[#This Row],[Drug Name4]],'Data Options'!$R$1:$S$100,2,FALSE), " ")</f>
        <v xml:space="preserve"> </v>
      </c>
      <c r="AI182" s="32"/>
      <c r="AJ182" s="32"/>
      <c r="AK182" s="53"/>
      <c r="AL182" s="21" t="str">
        <f>IFERROR(VLOOKUP(April[[#This Row],[Drug Name5]],'Data Options'!$R$1:$S$100,2,FALSE), " ")</f>
        <v xml:space="preserve"> </v>
      </c>
      <c r="AM182" s="32"/>
      <c r="AN182" s="32"/>
      <c r="AO182" s="53"/>
      <c r="AP182" s="21" t="str">
        <f>IFERROR(VLOOKUP(April[[#This Row],[Drug Name6]],'Data Options'!$R$1:$S$100,2,FALSE), " ")</f>
        <v xml:space="preserve"> </v>
      </c>
      <c r="AQ182" s="32"/>
      <c r="AR182" s="32"/>
      <c r="AS182" s="32"/>
      <c r="AT182" s="32"/>
      <c r="AU182" s="32"/>
      <c r="AV182" s="31"/>
      <c r="AW182" s="31"/>
      <c r="AX182" s="53"/>
      <c r="AY182" s="21" t="str">
        <f>IFERROR(VLOOKUP(April[[#This Row],[Drug Name7]],'Data Options'!$R$1:$S$100,2,FALSE), " ")</f>
        <v xml:space="preserve"> </v>
      </c>
      <c r="AZ182" s="32"/>
      <c r="BA182" s="32"/>
      <c r="BB182" s="53"/>
      <c r="BC182" s="21" t="str">
        <f>IFERROR(VLOOKUP(April[[#This Row],[Drug Name8]],'Data Options'!$R$1:$S$100,2,FALSE), " ")</f>
        <v xml:space="preserve"> </v>
      </c>
      <c r="BD182" s="32"/>
      <c r="BE182" s="32"/>
      <c r="BF182" s="53"/>
      <c r="BG182" s="21" t="str">
        <f>IFERROR(VLOOKUP(April[[#This Row],[Drug Name9]],'Data Options'!$R$1:$S$100,2,FALSE), " ")</f>
        <v xml:space="preserve"> </v>
      </c>
      <c r="BH182" s="32"/>
      <c r="BI182" s="32"/>
    </row>
    <row r="183" spans="1:61">
      <c r="A183" s="51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53"/>
      <c r="Q183" s="21" t="str">
        <f>IFERROR(VLOOKUP(April[[#This Row],[Drug Name]],'Data Options'!$R$1:$S$100,2,FALSE), " ")</f>
        <v xml:space="preserve"> </v>
      </c>
      <c r="R183" s="32"/>
      <c r="S183" s="32"/>
      <c r="T183" s="53"/>
      <c r="U183" s="21" t="str">
        <f>IFERROR(VLOOKUP(April[[#This Row],[Drug Name2]],'Data Options'!$R$1:$S$100,2,FALSE), " ")</f>
        <v xml:space="preserve"> </v>
      </c>
      <c r="V183" s="32"/>
      <c r="W183" s="32"/>
      <c r="X183" s="53"/>
      <c r="Y183" s="21" t="str">
        <f>IFERROR(VLOOKUP(April[[#This Row],[Drug Name3]],'Data Options'!$R$1:$S$100,2,FALSE), " ")</f>
        <v xml:space="preserve"> </v>
      </c>
      <c r="Z183" s="32"/>
      <c r="AA183" s="32"/>
      <c r="AB183" s="32"/>
      <c r="AC183" s="32"/>
      <c r="AD183" s="32"/>
      <c r="AE183" s="31"/>
      <c r="AF183" s="31"/>
      <c r="AG183" s="53"/>
      <c r="AH183" s="21" t="str">
        <f>IFERROR(VLOOKUP(April[[#This Row],[Drug Name4]],'Data Options'!$R$1:$S$100,2,FALSE), " ")</f>
        <v xml:space="preserve"> </v>
      </c>
      <c r="AI183" s="32"/>
      <c r="AJ183" s="32"/>
      <c r="AK183" s="53"/>
      <c r="AL183" s="21" t="str">
        <f>IFERROR(VLOOKUP(April[[#This Row],[Drug Name5]],'Data Options'!$R$1:$S$100,2,FALSE), " ")</f>
        <v xml:space="preserve"> </v>
      </c>
      <c r="AM183" s="32"/>
      <c r="AN183" s="32"/>
      <c r="AO183" s="53"/>
      <c r="AP183" s="21" t="str">
        <f>IFERROR(VLOOKUP(April[[#This Row],[Drug Name6]],'Data Options'!$R$1:$S$100,2,FALSE), " ")</f>
        <v xml:space="preserve"> </v>
      </c>
      <c r="AQ183" s="32"/>
      <c r="AR183" s="32"/>
      <c r="AS183" s="32"/>
      <c r="AT183" s="32"/>
      <c r="AU183" s="32"/>
      <c r="AV183" s="31"/>
      <c r="AW183" s="31"/>
      <c r="AX183" s="53"/>
      <c r="AY183" s="21" t="str">
        <f>IFERROR(VLOOKUP(April[[#This Row],[Drug Name7]],'Data Options'!$R$1:$S$100,2,FALSE), " ")</f>
        <v xml:space="preserve"> </v>
      </c>
      <c r="AZ183" s="32"/>
      <c r="BA183" s="32"/>
      <c r="BB183" s="53"/>
      <c r="BC183" s="21" t="str">
        <f>IFERROR(VLOOKUP(April[[#This Row],[Drug Name8]],'Data Options'!$R$1:$S$100,2,FALSE), " ")</f>
        <v xml:space="preserve"> </v>
      </c>
      <c r="BD183" s="32"/>
      <c r="BE183" s="32"/>
      <c r="BF183" s="53"/>
      <c r="BG183" s="21" t="str">
        <f>IFERROR(VLOOKUP(April[[#This Row],[Drug Name9]],'Data Options'!$R$1:$S$100,2,FALSE), " ")</f>
        <v xml:space="preserve"> </v>
      </c>
      <c r="BH183" s="32"/>
      <c r="BI183" s="32"/>
    </row>
    <row r="184" spans="1:61">
      <c r="A184" s="5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53"/>
      <c r="Q184" s="21" t="str">
        <f>IFERROR(VLOOKUP(April[[#This Row],[Drug Name]],'Data Options'!$R$1:$S$100,2,FALSE), " ")</f>
        <v xml:space="preserve"> </v>
      </c>
      <c r="R184" s="32"/>
      <c r="S184" s="32"/>
      <c r="T184" s="53"/>
      <c r="U184" s="21" t="str">
        <f>IFERROR(VLOOKUP(April[[#This Row],[Drug Name2]],'Data Options'!$R$1:$S$100,2,FALSE), " ")</f>
        <v xml:space="preserve"> </v>
      </c>
      <c r="V184" s="32"/>
      <c r="W184" s="32"/>
      <c r="X184" s="53"/>
      <c r="Y184" s="21" t="str">
        <f>IFERROR(VLOOKUP(April[[#This Row],[Drug Name3]],'Data Options'!$R$1:$S$100,2,FALSE), " ")</f>
        <v xml:space="preserve"> </v>
      </c>
      <c r="Z184" s="32"/>
      <c r="AA184" s="32"/>
      <c r="AB184" s="32"/>
      <c r="AC184" s="32"/>
      <c r="AD184" s="32"/>
      <c r="AE184" s="31"/>
      <c r="AF184" s="31"/>
      <c r="AG184" s="53"/>
      <c r="AH184" s="21" t="str">
        <f>IFERROR(VLOOKUP(April[[#This Row],[Drug Name4]],'Data Options'!$R$1:$S$100,2,FALSE), " ")</f>
        <v xml:space="preserve"> </v>
      </c>
      <c r="AI184" s="32"/>
      <c r="AJ184" s="32"/>
      <c r="AK184" s="53"/>
      <c r="AL184" s="21" t="str">
        <f>IFERROR(VLOOKUP(April[[#This Row],[Drug Name5]],'Data Options'!$R$1:$S$100,2,FALSE), " ")</f>
        <v xml:space="preserve"> </v>
      </c>
      <c r="AM184" s="32"/>
      <c r="AN184" s="32"/>
      <c r="AO184" s="53"/>
      <c r="AP184" s="21" t="str">
        <f>IFERROR(VLOOKUP(April[[#This Row],[Drug Name6]],'Data Options'!$R$1:$S$100,2,FALSE), " ")</f>
        <v xml:space="preserve"> </v>
      </c>
      <c r="AQ184" s="32"/>
      <c r="AR184" s="32"/>
      <c r="AS184" s="32"/>
      <c r="AT184" s="32"/>
      <c r="AU184" s="32"/>
      <c r="AV184" s="31"/>
      <c r="AW184" s="31"/>
      <c r="AX184" s="53"/>
      <c r="AY184" s="21" t="str">
        <f>IFERROR(VLOOKUP(April[[#This Row],[Drug Name7]],'Data Options'!$R$1:$S$100,2,FALSE), " ")</f>
        <v xml:space="preserve"> </v>
      </c>
      <c r="AZ184" s="32"/>
      <c r="BA184" s="32"/>
      <c r="BB184" s="53"/>
      <c r="BC184" s="21" t="str">
        <f>IFERROR(VLOOKUP(April[[#This Row],[Drug Name8]],'Data Options'!$R$1:$S$100,2,FALSE), " ")</f>
        <v xml:space="preserve"> </v>
      </c>
      <c r="BD184" s="32"/>
      <c r="BE184" s="32"/>
      <c r="BF184" s="53"/>
      <c r="BG184" s="21" t="str">
        <f>IFERROR(VLOOKUP(April[[#This Row],[Drug Name9]],'Data Options'!$R$1:$S$100,2,FALSE), " ")</f>
        <v xml:space="preserve"> </v>
      </c>
      <c r="BH184" s="32"/>
      <c r="BI184" s="32"/>
    </row>
    <row r="185" spans="1:61">
      <c r="A185" s="5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53"/>
      <c r="Q185" s="21" t="str">
        <f>IFERROR(VLOOKUP(April[[#This Row],[Drug Name]],'Data Options'!$R$1:$S$100,2,FALSE), " ")</f>
        <v xml:space="preserve"> </v>
      </c>
      <c r="R185" s="32"/>
      <c r="S185" s="32"/>
      <c r="T185" s="53"/>
      <c r="U185" s="21" t="str">
        <f>IFERROR(VLOOKUP(April[[#This Row],[Drug Name2]],'Data Options'!$R$1:$S$100,2,FALSE), " ")</f>
        <v xml:space="preserve"> </v>
      </c>
      <c r="V185" s="32"/>
      <c r="W185" s="32"/>
      <c r="X185" s="53"/>
      <c r="Y185" s="21" t="str">
        <f>IFERROR(VLOOKUP(April[[#This Row],[Drug Name3]],'Data Options'!$R$1:$S$100,2,FALSE), " ")</f>
        <v xml:space="preserve"> </v>
      </c>
      <c r="Z185" s="32"/>
      <c r="AA185" s="32"/>
      <c r="AB185" s="32"/>
      <c r="AC185" s="32"/>
      <c r="AD185" s="32"/>
      <c r="AE185" s="31"/>
      <c r="AF185" s="31"/>
      <c r="AG185" s="53"/>
      <c r="AH185" s="21" t="str">
        <f>IFERROR(VLOOKUP(April[[#This Row],[Drug Name4]],'Data Options'!$R$1:$S$100,2,FALSE), " ")</f>
        <v xml:space="preserve"> </v>
      </c>
      <c r="AI185" s="32"/>
      <c r="AJ185" s="32"/>
      <c r="AK185" s="53"/>
      <c r="AL185" s="21" t="str">
        <f>IFERROR(VLOOKUP(April[[#This Row],[Drug Name5]],'Data Options'!$R$1:$S$100,2,FALSE), " ")</f>
        <v xml:space="preserve"> </v>
      </c>
      <c r="AM185" s="32"/>
      <c r="AN185" s="32"/>
      <c r="AO185" s="53"/>
      <c r="AP185" s="21" t="str">
        <f>IFERROR(VLOOKUP(April[[#This Row],[Drug Name6]],'Data Options'!$R$1:$S$100,2,FALSE), " ")</f>
        <v xml:space="preserve"> </v>
      </c>
      <c r="AQ185" s="32"/>
      <c r="AR185" s="32"/>
      <c r="AS185" s="32"/>
      <c r="AT185" s="32"/>
      <c r="AU185" s="32"/>
      <c r="AV185" s="31"/>
      <c r="AW185" s="31"/>
      <c r="AX185" s="53"/>
      <c r="AY185" s="21" t="str">
        <f>IFERROR(VLOOKUP(April[[#This Row],[Drug Name7]],'Data Options'!$R$1:$S$100,2,FALSE), " ")</f>
        <v xml:space="preserve"> </v>
      </c>
      <c r="AZ185" s="32"/>
      <c r="BA185" s="32"/>
      <c r="BB185" s="53"/>
      <c r="BC185" s="21" t="str">
        <f>IFERROR(VLOOKUP(April[[#This Row],[Drug Name8]],'Data Options'!$R$1:$S$100,2,FALSE), " ")</f>
        <v xml:space="preserve"> </v>
      </c>
      <c r="BD185" s="32"/>
      <c r="BE185" s="32"/>
      <c r="BF185" s="53"/>
      <c r="BG185" s="21" t="str">
        <f>IFERROR(VLOOKUP(April[[#This Row],[Drug Name9]],'Data Options'!$R$1:$S$100,2,FALSE), " ")</f>
        <v xml:space="preserve"> </v>
      </c>
      <c r="BH185" s="32"/>
      <c r="BI185" s="32"/>
    </row>
    <row r="186" spans="1:61">
      <c r="A186" s="5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53"/>
      <c r="Q186" s="21" t="str">
        <f>IFERROR(VLOOKUP(April[[#This Row],[Drug Name]],'Data Options'!$R$1:$S$100,2,FALSE), " ")</f>
        <v xml:space="preserve"> </v>
      </c>
      <c r="R186" s="32"/>
      <c r="S186" s="32"/>
      <c r="T186" s="53"/>
      <c r="U186" s="21" t="str">
        <f>IFERROR(VLOOKUP(April[[#This Row],[Drug Name2]],'Data Options'!$R$1:$S$100,2,FALSE), " ")</f>
        <v xml:space="preserve"> </v>
      </c>
      <c r="V186" s="32"/>
      <c r="W186" s="32"/>
      <c r="X186" s="53"/>
      <c r="Y186" s="21" t="str">
        <f>IFERROR(VLOOKUP(April[[#This Row],[Drug Name3]],'Data Options'!$R$1:$S$100,2,FALSE), " ")</f>
        <v xml:space="preserve"> </v>
      </c>
      <c r="Z186" s="32"/>
      <c r="AA186" s="32"/>
      <c r="AB186" s="32"/>
      <c r="AC186" s="32"/>
      <c r="AD186" s="32"/>
      <c r="AE186" s="31"/>
      <c r="AF186" s="31"/>
      <c r="AG186" s="53"/>
      <c r="AH186" s="21" t="str">
        <f>IFERROR(VLOOKUP(April[[#This Row],[Drug Name4]],'Data Options'!$R$1:$S$100,2,FALSE), " ")</f>
        <v xml:space="preserve"> </v>
      </c>
      <c r="AI186" s="32"/>
      <c r="AJ186" s="32"/>
      <c r="AK186" s="53"/>
      <c r="AL186" s="21" t="str">
        <f>IFERROR(VLOOKUP(April[[#This Row],[Drug Name5]],'Data Options'!$R$1:$S$100,2,FALSE), " ")</f>
        <v xml:space="preserve"> </v>
      </c>
      <c r="AM186" s="32"/>
      <c r="AN186" s="32"/>
      <c r="AO186" s="53"/>
      <c r="AP186" s="21" t="str">
        <f>IFERROR(VLOOKUP(April[[#This Row],[Drug Name6]],'Data Options'!$R$1:$S$100,2,FALSE), " ")</f>
        <v xml:space="preserve"> </v>
      </c>
      <c r="AQ186" s="32"/>
      <c r="AR186" s="32"/>
      <c r="AS186" s="32"/>
      <c r="AT186" s="32"/>
      <c r="AU186" s="32"/>
      <c r="AV186" s="31"/>
      <c r="AW186" s="31"/>
      <c r="AX186" s="53"/>
      <c r="AY186" s="21" t="str">
        <f>IFERROR(VLOOKUP(April[[#This Row],[Drug Name7]],'Data Options'!$R$1:$S$100,2,FALSE), " ")</f>
        <v xml:space="preserve"> </v>
      </c>
      <c r="AZ186" s="32"/>
      <c r="BA186" s="32"/>
      <c r="BB186" s="53"/>
      <c r="BC186" s="21" t="str">
        <f>IFERROR(VLOOKUP(April[[#This Row],[Drug Name8]],'Data Options'!$R$1:$S$100,2,FALSE), " ")</f>
        <v xml:space="preserve"> </v>
      </c>
      <c r="BD186" s="32"/>
      <c r="BE186" s="32"/>
      <c r="BF186" s="53"/>
      <c r="BG186" s="21" t="str">
        <f>IFERROR(VLOOKUP(April[[#This Row],[Drug Name9]],'Data Options'!$R$1:$S$100,2,FALSE), " ")</f>
        <v xml:space="preserve"> </v>
      </c>
      <c r="BH186" s="32"/>
      <c r="BI186" s="32"/>
    </row>
    <row r="187" spans="1:61">
      <c r="A187" s="5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53"/>
      <c r="Q187" s="21" t="str">
        <f>IFERROR(VLOOKUP(April[[#This Row],[Drug Name]],'Data Options'!$R$1:$S$100,2,FALSE), " ")</f>
        <v xml:space="preserve"> </v>
      </c>
      <c r="R187" s="32"/>
      <c r="S187" s="32"/>
      <c r="T187" s="53"/>
      <c r="U187" s="21" t="str">
        <f>IFERROR(VLOOKUP(April[[#This Row],[Drug Name2]],'Data Options'!$R$1:$S$100,2,FALSE), " ")</f>
        <v xml:space="preserve"> </v>
      </c>
      <c r="V187" s="32"/>
      <c r="W187" s="32"/>
      <c r="X187" s="53"/>
      <c r="Y187" s="21" t="str">
        <f>IFERROR(VLOOKUP(April[[#This Row],[Drug Name3]],'Data Options'!$R$1:$S$100,2,FALSE), " ")</f>
        <v xml:space="preserve"> </v>
      </c>
      <c r="Z187" s="32"/>
      <c r="AA187" s="32"/>
      <c r="AB187" s="32"/>
      <c r="AC187" s="32"/>
      <c r="AD187" s="32"/>
      <c r="AE187" s="31"/>
      <c r="AF187" s="31"/>
      <c r="AG187" s="53"/>
      <c r="AH187" s="21" t="str">
        <f>IFERROR(VLOOKUP(April[[#This Row],[Drug Name4]],'Data Options'!$R$1:$S$100,2,FALSE), " ")</f>
        <v xml:space="preserve"> </v>
      </c>
      <c r="AI187" s="32"/>
      <c r="AJ187" s="32"/>
      <c r="AK187" s="53"/>
      <c r="AL187" s="21" t="str">
        <f>IFERROR(VLOOKUP(April[[#This Row],[Drug Name5]],'Data Options'!$R$1:$S$100,2,FALSE), " ")</f>
        <v xml:space="preserve"> </v>
      </c>
      <c r="AM187" s="32"/>
      <c r="AN187" s="32"/>
      <c r="AO187" s="53"/>
      <c r="AP187" s="21" t="str">
        <f>IFERROR(VLOOKUP(April[[#This Row],[Drug Name6]],'Data Options'!$R$1:$S$100,2,FALSE), " ")</f>
        <v xml:space="preserve"> </v>
      </c>
      <c r="AQ187" s="32"/>
      <c r="AR187" s="32"/>
      <c r="AS187" s="32"/>
      <c r="AT187" s="32"/>
      <c r="AU187" s="32"/>
      <c r="AV187" s="31"/>
      <c r="AW187" s="31"/>
      <c r="AX187" s="53"/>
      <c r="AY187" s="21" t="str">
        <f>IFERROR(VLOOKUP(April[[#This Row],[Drug Name7]],'Data Options'!$R$1:$S$100,2,FALSE), " ")</f>
        <v xml:space="preserve"> </v>
      </c>
      <c r="AZ187" s="32"/>
      <c r="BA187" s="32"/>
      <c r="BB187" s="53"/>
      <c r="BC187" s="21" t="str">
        <f>IFERROR(VLOOKUP(April[[#This Row],[Drug Name8]],'Data Options'!$R$1:$S$100,2,FALSE), " ")</f>
        <v xml:space="preserve"> </v>
      </c>
      <c r="BD187" s="32"/>
      <c r="BE187" s="32"/>
      <c r="BF187" s="53"/>
      <c r="BG187" s="21" t="str">
        <f>IFERROR(VLOOKUP(April[[#This Row],[Drug Name9]],'Data Options'!$R$1:$S$100,2,FALSE), " ")</f>
        <v xml:space="preserve"> </v>
      </c>
      <c r="BH187" s="32"/>
      <c r="BI187" s="32"/>
    </row>
    <row r="188" spans="1:61">
      <c r="A188" s="5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53"/>
      <c r="Q188" s="21" t="str">
        <f>IFERROR(VLOOKUP(April[[#This Row],[Drug Name]],'Data Options'!$R$1:$S$100,2,FALSE), " ")</f>
        <v xml:space="preserve"> </v>
      </c>
      <c r="R188" s="32"/>
      <c r="S188" s="32"/>
      <c r="T188" s="53"/>
      <c r="U188" s="21" t="str">
        <f>IFERROR(VLOOKUP(April[[#This Row],[Drug Name2]],'Data Options'!$R$1:$S$100,2,FALSE), " ")</f>
        <v xml:space="preserve"> </v>
      </c>
      <c r="V188" s="32"/>
      <c r="W188" s="32"/>
      <c r="X188" s="53"/>
      <c r="Y188" s="21" t="str">
        <f>IFERROR(VLOOKUP(April[[#This Row],[Drug Name3]],'Data Options'!$R$1:$S$100,2,FALSE), " ")</f>
        <v xml:space="preserve"> </v>
      </c>
      <c r="Z188" s="32"/>
      <c r="AA188" s="32"/>
      <c r="AB188" s="32"/>
      <c r="AC188" s="32"/>
      <c r="AD188" s="32"/>
      <c r="AE188" s="31"/>
      <c r="AF188" s="31"/>
      <c r="AG188" s="53"/>
      <c r="AH188" s="21" t="str">
        <f>IFERROR(VLOOKUP(April[[#This Row],[Drug Name4]],'Data Options'!$R$1:$S$100,2,FALSE), " ")</f>
        <v xml:space="preserve"> </v>
      </c>
      <c r="AI188" s="32"/>
      <c r="AJ188" s="32"/>
      <c r="AK188" s="53"/>
      <c r="AL188" s="21" t="str">
        <f>IFERROR(VLOOKUP(April[[#This Row],[Drug Name5]],'Data Options'!$R$1:$S$100,2,FALSE), " ")</f>
        <v xml:space="preserve"> </v>
      </c>
      <c r="AM188" s="32"/>
      <c r="AN188" s="32"/>
      <c r="AO188" s="53"/>
      <c r="AP188" s="21" t="str">
        <f>IFERROR(VLOOKUP(April[[#This Row],[Drug Name6]],'Data Options'!$R$1:$S$100,2,FALSE), " ")</f>
        <v xml:space="preserve"> </v>
      </c>
      <c r="AQ188" s="32"/>
      <c r="AR188" s="32"/>
      <c r="AS188" s="32"/>
      <c r="AT188" s="32"/>
      <c r="AU188" s="32"/>
      <c r="AV188" s="31"/>
      <c r="AW188" s="31"/>
      <c r="AX188" s="53"/>
      <c r="AY188" s="21" t="str">
        <f>IFERROR(VLOOKUP(April[[#This Row],[Drug Name7]],'Data Options'!$R$1:$S$100,2,FALSE), " ")</f>
        <v xml:space="preserve"> </v>
      </c>
      <c r="AZ188" s="32"/>
      <c r="BA188" s="32"/>
      <c r="BB188" s="53"/>
      <c r="BC188" s="21" t="str">
        <f>IFERROR(VLOOKUP(April[[#This Row],[Drug Name8]],'Data Options'!$R$1:$S$100,2,FALSE), " ")</f>
        <v xml:space="preserve"> </v>
      </c>
      <c r="BD188" s="32"/>
      <c r="BE188" s="32"/>
      <c r="BF188" s="53"/>
      <c r="BG188" s="21" t="str">
        <f>IFERROR(VLOOKUP(April[[#This Row],[Drug Name9]],'Data Options'!$R$1:$S$100,2,FALSE), " ")</f>
        <v xml:space="preserve"> </v>
      </c>
      <c r="BH188" s="32"/>
      <c r="BI188" s="32"/>
    </row>
    <row r="189" spans="1:61">
      <c r="A189" s="5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53"/>
      <c r="Q189" s="21" t="str">
        <f>IFERROR(VLOOKUP(April[[#This Row],[Drug Name]],'Data Options'!$R$1:$S$100,2,FALSE), " ")</f>
        <v xml:space="preserve"> </v>
      </c>
      <c r="R189" s="32"/>
      <c r="S189" s="32"/>
      <c r="T189" s="53"/>
      <c r="U189" s="21" t="str">
        <f>IFERROR(VLOOKUP(April[[#This Row],[Drug Name2]],'Data Options'!$R$1:$S$100,2,FALSE), " ")</f>
        <v xml:space="preserve"> </v>
      </c>
      <c r="V189" s="32"/>
      <c r="W189" s="32"/>
      <c r="X189" s="53"/>
      <c r="Y189" s="21" t="str">
        <f>IFERROR(VLOOKUP(April[[#This Row],[Drug Name3]],'Data Options'!$R$1:$S$100,2,FALSE), " ")</f>
        <v xml:space="preserve"> </v>
      </c>
      <c r="Z189" s="32"/>
      <c r="AA189" s="32"/>
      <c r="AB189" s="32"/>
      <c r="AC189" s="32"/>
      <c r="AD189" s="32"/>
      <c r="AE189" s="31"/>
      <c r="AF189" s="31"/>
      <c r="AG189" s="53"/>
      <c r="AH189" s="21" t="str">
        <f>IFERROR(VLOOKUP(April[[#This Row],[Drug Name4]],'Data Options'!$R$1:$S$100,2,FALSE), " ")</f>
        <v xml:space="preserve"> </v>
      </c>
      <c r="AI189" s="32"/>
      <c r="AJ189" s="32"/>
      <c r="AK189" s="53"/>
      <c r="AL189" s="21" t="str">
        <f>IFERROR(VLOOKUP(April[[#This Row],[Drug Name5]],'Data Options'!$R$1:$S$100,2,FALSE), " ")</f>
        <v xml:space="preserve"> </v>
      </c>
      <c r="AM189" s="32"/>
      <c r="AN189" s="32"/>
      <c r="AO189" s="53"/>
      <c r="AP189" s="21" t="str">
        <f>IFERROR(VLOOKUP(April[[#This Row],[Drug Name6]],'Data Options'!$R$1:$S$100,2,FALSE), " ")</f>
        <v xml:space="preserve"> </v>
      </c>
      <c r="AQ189" s="32"/>
      <c r="AR189" s="32"/>
      <c r="AS189" s="32"/>
      <c r="AT189" s="32"/>
      <c r="AU189" s="32"/>
      <c r="AV189" s="31"/>
      <c r="AW189" s="31"/>
      <c r="AX189" s="53"/>
      <c r="AY189" s="21" t="str">
        <f>IFERROR(VLOOKUP(April[[#This Row],[Drug Name7]],'Data Options'!$R$1:$S$100,2,FALSE), " ")</f>
        <v xml:space="preserve"> </v>
      </c>
      <c r="AZ189" s="32"/>
      <c r="BA189" s="32"/>
      <c r="BB189" s="53"/>
      <c r="BC189" s="21" t="str">
        <f>IFERROR(VLOOKUP(April[[#This Row],[Drug Name8]],'Data Options'!$R$1:$S$100,2,FALSE), " ")</f>
        <v xml:space="preserve"> </v>
      </c>
      <c r="BD189" s="32"/>
      <c r="BE189" s="32"/>
      <c r="BF189" s="53"/>
      <c r="BG189" s="21" t="str">
        <f>IFERROR(VLOOKUP(April[[#This Row],[Drug Name9]],'Data Options'!$R$1:$S$100,2,FALSE), " ")</f>
        <v xml:space="preserve"> </v>
      </c>
      <c r="BH189" s="32"/>
      <c r="BI189" s="32"/>
    </row>
    <row r="190" spans="1:61">
      <c r="A190" s="5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53"/>
      <c r="Q190" s="21" t="str">
        <f>IFERROR(VLOOKUP(April[[#This Row],[Drug Name]],'Data Options'!$R$1:$S$100,2,FALSE), " ")</f>
        <v xml:space="preserve"> </v>
      </c>
      <c r="R190" s="32"/>
      <c r="S190" s="32"/>
      <c r="T190" s="53"/>
      <c r="U190" s="21" t="str">
        <f>IFERROR(VLOOKUP(April[[#This Row],[Drug Name2]],'Data Options'!$R$1:$S$100,2,FALSE), " ")</f>
        <v xml:space="preserve"> </v>
      </c>
      <c r="V190" s="32"/>
      <c r="W190" s="32"/>
      <c r="X190" s="53"/>
      <c r="Y190" s="21" t="str">
        <f>IFERROR(VLOOKUP(April[[#This Row],[Drug Name3]],'Data Options'!$R$1:$S$100,2,FALSE), " ")</f>
        <v xml:space="preserve"> </v>
      </c>
      <c r="Z190" s="32"/>
      <c r="AA190" s="32"/>
      <c r="AB190" s="32"/>
      <c r="AC190" s="32"/>
      <c r="AD190" s="32"/>
      <c r="AE190" s="31"/>
      <c r="AF190" s="31"/>
      <c r="AG190" s="53"/>
      <c r="AH190" s="21" t="str">
        <f>IFERROR(VLOOKUP(April[[#This Row],[Drug Name4]],'Data Options'!$R$1:$S$100,2,FALSE), " ")</f>
        <v xml:space="preserve"> </v>
      </c>
      <c r="AI190" s="32"/>
      <c r="AJ190" s="32"/>
      <c r="AK190" s="53"/>
      <c r="AL190" s="21" t="str">
        <f>IFERROR(VLOOKUP(April[[#This Row],[Drug Name5]],'Data Options'!$R$1:$S$100,2,FALSE), " ")</f>
        <v xml:space="preserve"> </v>
      </c>
      <c r="AM190" s="32"/>
      <c r="AN190" s="32"/>
      <c r="AO190" s="53"/>
      <c r="AP190" s="21" t="str">
        <f>IFERROR(VLOOKUP(April[[#This Row],[Drug Name6]],'Data Options'!$R$1:$S$100,2,FALSE), " ")</f>
        <v xml:space="preserve"> </v>
      </c>
      <c r="AQ190" s="32"/>
      <c r="AR190" s="32"/>
      <c r="AS190" s="32"/>
      <c r="AT190" s="32"/>
      <c r="AU190" s="32"/>
      <c r="AV190" s="31"/>
      <c r="AW190" s="31"/>
      <c r="AX190" s="53"/>
      <c r="AY190" s="21" t="str">
        <f>IFERROR(VLOOKUP(April[[#This Row],[Drug Name7]],'Data Options'!$R$1:$S$100,2,FALSE), " ")</f>
        <v xml:space="preserve"> </v>
      </c>
      <c r="AZ190" s="32"/>
      <c r="BA190" s="32"/>
      <c r="BB190" s="53"/>
      <c r="BC190" s="21" t="str">
        <f>IFERROR(VLOOKUP(April[[#This Row],[Drug Name8]],'Data Options'!$R$1:$S$100,2,FALSE), " ")</f>
        <v xml:space="preserve"> </v>
      </c>
      <c r="BD190" s="32"/>
      <c r="BE190" s="32"/>
      <c r="BF190" s="53"/>
      <c r="BG190" s="21" t="str">
        <f>IFERROR(VLOOKUP(April[[#This Row],[Drug Name9]],'Data Options'!$R$1:$S$100,2,FALSE), " ")</f>
        <v xml:space="preserve"> </v>
      </c>
      <c r="BH190" s="32"/>
      <c r="BI190" s="32"/>
    </row>
    <row r="191" spans="1:61">
      <c r="A191" s="5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53"/>
      <c r="Q191" s="21" t="str">
        <f>IFERROR(VLOOKUP(April[[#This Row],[Drug Name]],'Data Options'!$R$1:$S$100,2,FALSE), " ")</f>
        <v xml:space="preserve"> </v>
      </c>
      <c r="R191" s="32"/>
      <c r="S191" s="32"/>
      <c r="T191" s="53"/>
      <c r="U191" s="21" t="str">
        <f>IFERROR(VLOOKUP(April[[#This Row],[Drug Name2]],'Data Options'!$R$1:$S$100,2,FALSE), " ")</f>
        <v xml:space="preserve"> </v>
      </c>
      <c r="V191" s="32"/>
      <c r="W191" s="32"/>
      <c r="X191" s="53"/>
      <c r="Y191" s="21" t="str">
        <f>IFERROR(VLOOKUP(April[[#This Row],[Drug Name3]],'Data Options'!$R$1:$S$100,2,FALSE), " ")</f>
        <v xml:space="preserve"> </v>
      </c>
      <c r="Z191" s="32"/>
      <c r="AA191" s="32"/>
      <c r="AB191" s="32"/>
      <c r="AC191" s="32"/>
      <c r="AD191" s="32"/>
      <c r="AE191" s="31"/>
      <c r="AF191" s="31"/>
      <c r="AG191" s="53"/>
      <c r="AH191" s="21" t="str">
        <f>IFERROR(VLOOKUP(April[[#This Row],[Drug Name4]],'Data Options'!$R$1:$S$100,2,FALSE), " ")</f>
        <v xml:space="preserve"> </v>
      </c>
      <c r="AI191" s="32"/>
      <c r="AJ191" s="32"/>
      <c r="AK191" s="53"/>
      <c r="AL191" s="21" t="str">
        <f>IFERROR(VLOOKUP(April[[#This Row],[Drug Name5]],'Data Options'!$R$1:$S$100,2,FALSE), " ")</f>
        <v xml:space="preserve"> </v>
      </c>
      <c r="AM191" s="32"/>
      <c r="AN191" s="32"/>
      <c r="AO191" s="53"/>
      <c r="AP191" s="21" t="str">
        <f>IFERROR(VLOOKUP(April[[#This Row],[Drug Name6]],'Data Options'!$R$1:$S$100,2,FALSE), " ")</f>
        <v xml:space="preserve"> </v>
      </c>
      <c r="AQ191" s="32"/>
      <c r="AR191" s="32"/>
      <c r="AS191" s="32"/>
      <c r="AT191" s="32"/>
      <c r="AU191" s="32"/>
      <c r="AV191" s="31"/>
      <c r="AW191" s="31"/>
      <c r="AX191" s="53"/>
      <c r="AY191" s="21" t="str">
        <f>IFERROR(VLOOKUP(April[[#This Row],[Drug Name7]],'Data Options'!$R$1:$S$100,2,FALSE), " ")</f>
        <v xml:space="preserve"> </v>
      </c>
      <c r="AZ191" s="32"/>
      <c r="BA191" s="32"/>
      <c r="BB191" s="53"/>
      <c r="BC191" s="21" t="str">
        <f>IFERROR(VLOOKUP(April[[#This Row],[Drug Name8]],'Data Options'!$R$1:$S$100,2,FALSE), " ")</f>
        <v xml:space="preserve"> </v>
      </c>
      <c r="BD191" s="32"/>
      <c r="BE191" s="32"/>
      <c r="BF191" s="53"/>
      <c r="BG191" s="21" t="str">
        <f>IFERROR(VLOOKUP(April[[#This Row],[Drug Name9]],'Data Options'!$R$1:$S$100,2,FALSE), " ")</f>
        <v xml:space="preserve"> </v>
      </c>
      <c r="BH191" s="32"/>
      <c r="BI191" s="32"/>
    </row>
    <row r="192" spans="1:61">
      <c r="A192" s="5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53"/>
      <c r="Q192" s="21" t="str">
        <f>IFERROR(VLOOKUP(April[[#This Row],[Drug Name]],'Data Options'!$R$1:$S$100,2,FALSE), " ")</f>
        <v xml:space="preserve"> </v>
      </c>
      <c r="R192" s="32"/>
      <c r="S192" s="32"/>
      <c r="T192" s="53"/>
      <c r="U192" s="21" t="str">
        <f>IFERROR(VLOOKUP(April[[#This Row],[Drug Name2]],'Data Options'!$R$1:$S$100,2,FALSE), " ")</f>
        <v xml:space="preserve"> </v>
      </c>
      <c r="V192" s="32"/>
      <c r="W192" s="32"/>
      <c r="X192" s="53"/>
      <c r="Y192" s="21" t="str">
        <f>IFERROR(VLOOKUP(April[[#This Row],[Drug Name3]],'Data Options'!$R$1:$S$100,2,FALSE), " ")</f>
        <v xml:space="preserve"> </v>
      </c>
      <c r="Z192" s="32"/>
      <c r="AA192" s="32"/>
      <c r="AB192" s="32"/>
      <c r="AC192" s="32"/>
      <c r="AD192" s="32"/>
      <c r="AE192" s="31"/>
      <c r="AF192" s="31"/>
      <c r="AG192" s="53"/>
      <c r="AH192" s="21" t="str">
        <f>IFERROR(VLOOKUP(April[[#This Row],[Drug Name4]],'Data Options'!$R$1:$S$100,2,FALSE), " ")</f>
        <v xml:space="preserve"> </v>
      </c>
      <c r="AI192" s="32"/>
      <c r="AJ192" s="32"/>
      <c r="AK192" s="53"/>
      <c r="AL192" s="21" t="str">
        <f>IFERROR(VLOOKUP(April[[#This Row],[Drug Name5]],'Data Options'!$R$1:$S$100,2,FALSE), " ")</f>
        <v xml:space="preserve"> </v>
      </c>
      <c r="AM192" s="32"/>
      <c r="AN192" s="32"/>
      <c r="AO192" s="53"/>
      <c r="AP192" s="21" t="str">
        <f>IFERROR(VLOOKUP(April[[#This Row],[Drug Name6]],'Data Options'!$R$1:$S$100,2,FALSE), " ")</f>
        <v xml:space="preserve"> </v>
      </c>
      <c r="AQ192" s="32"/>
      <c r="AR192" s="32"/>
      <c r="AS192" s="32"/>
      <c r="AT192" s="32"/>
      <c r="AU192" s="32"/>
      <c r="AV192" s="31"/>
      <c r="AW192" s="31"/>
      <c r="AX192" s="53"/>
      <c r="AY192" s="21" t="str">
        <f>IFERROR(VLOOKUP(April[[#This Row],[Drug Name7]],'Data Options'!$R$1:$S$100,2,FALSE), " ")</f>
        <v xml:space="preserve"> </v>
      </c>
      <c r="AZ192" s="32"/>
      <c r="BA192" s="32"/>
      <c r="BB192" s="53"/>
      <c r="BC192" s="21" t="str">
        <f>IFERROR(VLOOKUP(April[[#This Row],[Drug Name8]],'Data Options'!$R$1:$S$100,2,FALSE), " ")</f>
        <v xml:space="preserve"> </v>
      </c>
      <c r="BD192" s="32"/>
      <c r="BE192" s="32"/>
      <c r="BF192" s="53"/>
      <c r="BG192" s="21" t="str">
        <f>IFERROR(VLOOKUP(April[[#This Row],[Drug Name9]],'Data Options'!$R$1:$S$100,2,FALSE), " ")</f>
        <v xml:space="preserve"> </v>
      </c>
      <c r="BH192" s="32"/>
      <c r="BI192" s="32"/>
    </row>
    <row r="193" spans="1:61">
      <c r="A193" s="5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53"/>
      <c r="Q193" s="21" t="str">
        <f>IFERROR(VLOOKUP(April[[#This Row],[Drug Name]],'Data Options'!$R$1:$S$100,2,FALSE), " ")</f>
        <v xml:space="preserve"> </v>
      </c>
      <c r="R193" s="32"/>
      <c r="S193" s="32"/>
      <c r="T193" s="53"/>
      <c r="U193" s="21" t="str">
        <f>IFERROR(VLOOKUP(April[[#This Row],[Drug Name2]],'Data Options'!$R$1:$S$100,2,FALSE), " ")</f>
        <v xml:space="preserve"> </v>
      </c>
      <c r="V193" s="32"/>
      <c r="W193" s="32"/>
      <c r="X193" s="53"/>
      <c r="Y193" s="21" t="str">
        <f>IFERROR(VLOOKUP(April[[#This Row],[Drug Name3]],'Data Options'!$R$1:$S$100,2,FALSE), " ")</f>
        <v xml:space="preserve"> </v>
      </c>
      <c r="Z193" s="32"/>
      <c r="AA193" s="32"/>
      <c r="AB193" s="32"/>
      <c r="AC193" s="32"/>
      <c r="AD193" s="32"/>
      <c r="AE193" s="31"/>
      <c r="AF193" s="31"/>
      <c r="AG193" s="53"/>
      <c r="AH193" s="21" t="str">
        <f>IFERROR(VLOOKUP(April[[#This Row],[Drug Name4]],'Data Options'!$R$1:$S$100,2,FALSE), " ")</f>
        <v xml:space="preserve"> </v>
      </c>
      <c r="AI193" s="32"/>
      <c r="AJ193" s="32"/>
      <c r="AK193" s="53"/>
      <c r="AL193" s="21" t="str">
        <f>IFERROR(VLOOKUP(April[[#This Row],[Drug Name5]],'Data Options'!$R$1:$S$100,2,FALSE), " ")</f>
        <v xml:space="preserve"> </v>
      </c>
      <c r="AM193" s="32"/>
      <c r="AN193" s="32"/>
      <c r="AO193" s="53"/>
      <c r="AP193" s="21" t="str">
        <f>IFERROR(VLOOKUP(April[[#This Row],[Drug Name6]],'Data Options'!$R$1:$S$100,2,FALSE), " ")</f>
        <v xml:space="preserve"> </v>
      </c>
      <c r="AQ193" s="32"/>
      <c r="AR193" s="32"/>
      <c r="AS193" s="32"/>
      <c r="AT193" s="32"/>
      <c r="AU193" s="32"/>
      <c r="AV193" s="31"/>
      <c r="AW193" s="31"/>
      <c r="AX193" s="53"/>
      <c r="AY193" s="21" t="str">
        <f>IFERROR(VLOOKUP(April[[#This Row],[Drug Name7]],'Data Options'!$R$1:$S$100,2,FALSE), " ")</f>
        <v xml:space="preserve"> </v>
      </c>
      <c r="AZ193" s="32"/>
      <c r="BA193" s="32"/>
      <c r="BB193" s="53"/>
      <c r="BC193" s="21" t="str">
        <f>IFERROR(VLOOKUP(April[[#This Row],[Drug Name8]],'Data Options'!$R$1:$S$100,2,FALSE), " ")</f>
        <v xml:space="preserve"> </v>
      </c>
      <c r="BD193" s="32"/>
      <c r="BE193" s="32"/>
      <c r="BF193" s="53"/>
      <c r="BG193" s="21" t="str">
        <f>IFERROR(VLOOKUP(April[[#This Row],[Drug Name9]],'Data Options'!$R$1:$S$100,2,FALSE), " ")</f>
        <v xml:space="preserve"> </v>
      </c>
      <c r="BH193" s="32"/>
      <c r="BI193" s="32"/>
    </row>
    <row r="194" spans="1:61">
      <c r="A194" s="5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53"/>
      <c r="Q194" s="21" t="str">
        <f>IFERROR(VLOOKUP(April[[#This Row],[Drug Name]],'Data Options'!$R$1:$S$100,2,FALSE), " ")</f>
        <v xml:space="preserve"> </v>
      </c>
      <c r="R194" s="32"/>
      <c r="S194" s="32"/>
      <c r="T194" s="53"/>
      <c r="U194" s="21" t="str">
        <f>IFERROR(VLOOKUP(April[[#This Row],[Drug Name2]],'Data Options'!$R$1:$S$100,2,FALSE), " ")</f>
        <v xml:space="preserve"> </v>
      </c>
      <c r="V194" s="32"/>
      <c r="W194" s="32"/>
      <c r="X194" s="53"/>
      <c r="Y194" s="21" t="str">
        <f>IFERROR(VLOOKUP(April[[#This Row],[Drug Name3]],'Data Options'!$R$1:$S$100,2,FALSE), " ")</f>
        <v xml:space="preserve"> </v>
      </c>
      <c r="Z194" s="32"/>
      <c r="AA194" s="32"/>
      <c r="AB194" s="32"/>
      <c r="AC194" s="32"/>
      <c r="AD194" s="32"/>
      <c r="AE194" s="31"/>
      <c r="AF194" s="31"/>
      <c r="AG194" s="53"/>
      <c r="AH194" s="21" t="str">
        <f>IFERROR(VLOOKUP(April[[#This Row],[Drug Name4]],'Data Options'!$R$1:$S$100,2,FALSE), " ")</f>
        <v xml:space="preserve"> </v>
      </c>
      <c r="AI194" s="32"/>
      <c r="AJ194" s="32"/>
      <c r="AK194" s="53"/>
      <c r="AL194" s="21" t="str">
        <f>IFERROR(VLOOKUP(April[[#This Row],[Drug Name5]],'Data Options'!$R$1:$S$100,2,FALSE), " ")</f>
        <v xml:space="preserve"> </v>
      </c>
      <c r="AM194" s="32"/>
      <c r="AN194" s="32"/>
      <c r="AO194" s="53"/>
      <c r="AP194" s="21" t="str">
        <f>IFERROR(VLOOKUP(April[[#This Row],[Drug Name6]],'Data Options'!$R$1:$S$100,2,FALSE), " ")</f>
        <v xml:space="preserve"> </v>
      </c>
      <c r="AQ194" s="32"/>
      <c r="AR194" s="32"/>
      <c r="AS194" s="32"/>
      <c r="AT194" s="32"/>
      <c r="AU194" s="32"/>
      <c r="AV194" s="31"/>
      <c r="AW194" s="31"/>
      <c r="AX194" s="53"/>
      <c r="AY194" s="21" t="str">
        <f>IFERROR(VLOOKUP(April[[#This Row],[Drug Name7]],'Data Options'!$R$1:$S$100,2,FALSE), " ")</f>
        <v xml:space="preserve"> </v>
      </c>
      <c r="AZ194" s="32"/>
      <c r="BA194" s="32"/>
      <c r="BB194" s="53"/>
      <c r="BC194" s="21" t="str">
        <f>IFERROR(VLOOKUP(April[[#This Row],[Drug Name8]],'Data Options'!$R$1:$S$100,2,FALSE), " ")</f>
        <v xml:space="preserve"> </v>
      </c>
      <c r="BD194" s="32"/>
      <c r="BE194" s="32"/>
      <c r="BF194" s="53"/>
      <c r="BG194" s="21" t="str">
        <f>IFERROR(VLOOKUP(April[[#This Row],[Drug Name9]],'Data Options'!$R$1:$S$100,2,FALSE), " ")</f>
        <v xml:space="preserve"> </v>
      </c>
      <c r="BH194" s="32"/>
      <c r="BI194" s="32"/>
    </row>
    <row r="195" spans="1:61">
      <c r="A195" s="51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53"/>
      <c r="Q195" s="21" t="str">
        <f>IFERROR(VLOOKUP(April[[#This Row],[Drug Name]],'Data Options'!$R$1:$S$100,2,FALSE), " ")</f>
        <v xml:space="preserve"> </v>
      </c>
      <c r="R195" s="32"/>
      <c r="S195" s="32"/>
      <c r="T195" s="53"/>
      <c r="U195" s="21" t="str">
        <f>IFERROR(VLOOKUP(April[[#This Row],[Drug Name2]],'Data Options'!$R$1:$S$100,2,FALSE), " ")</f>
        <v xml:space="preserve"> </v>
      </c>
      <c r="V195" s="32"/>
      <c r="W195" s="32"/>
      <c r="X195" s="53"/>
      <c r="Y195" s="21" t="str">
        <f>IFERROR(VLOOKUP(April[[#This Row],[Drug Name3]],'Data Options'!$R$1:$S$100,2,FALSE), " ")</f>
        <v xml:space="preserve"> </v>
      </c>
      <c r="Z195" s="32"/>
      <c r="AA195" s="32"/>
      <c r="AB195" s="32"/>
      <c r="AC195" s="32"/>
      <c r="AD195" s="32"/>
      <c r="AE195" s="31"/>
      <c r="AF195" s="31"/>
      <c r="AG195" s="53"/>
      <c r="AH195" s="21" t="str">
        <f>IFERROR(VLOOKUP(April[[#This Row],[Drug Name4]],'Data Options'!$R$1:$S$100,2,FALSE), " ")</f>
        <v xml:space="preserve"> </v>
      </c>
      <c r="AI195" s="32"/>
      <c r="AJ195" s="32"/>
      <c r="AK195" s="53"/>
      <c r="AL195" s="21" t="str">
        <f>IFERROR(VLOOKUP(April[[#This Row],[Drug Name5]],'Data Options'!$R$1:$S$100,2,FALSE), " ")</f>
        <v xml:space="preserve"> </v>
      </c>
      <c r="AM195" s="32"/>
      <c r="AN195" s="32"/>
      <c r="AO195" s="53"/>
      <c r="AP195" s="21" t="str">
        <f>IFERROR(VLOOKUP(April[[#This Row],[Drug Name6]],'Data Options'!$R$1:$S$100,2,FALSE), " ")</f>
        <v xml:space="preserve"> </v>
      </c>
      <c r="AQ195" s="32"/>
      <c r="AR195" s="32"/>
      <c r="AS195" s="32"/>
      <c r="AT195" s="32"/>
      <c r="AU195" s="32"/>
      <c r="AV195" s="31"/>
      <c r="AW195" s="31"/>
      <c r="AX195" s="53"/>
      <c r="AY195" s="21" t="str">
        <f>IFERROR(VLOOKUP(April[[#This Row],[Drug Name7]],'Data Options'!$R$1:$S$100,2,FALSE), " ")</f>
        <v xml:space="preserve"> </v>
      </c>
      <c r="AZ195" s="32"/>
      <c r="BA195" s="32"/>
      <c r="BB195" s="53"/>
      <c r="BC195" s="21" t="str">
        <f>IFERROR(VLOOKUP(April[[#This Row],[Drug Name8]],'Data Options'!$R$1:$S$100,2,FALSE), " ")</f>
        <v xml:space="preserve"> </v>
      </c>
      <c r="BD195" s="32"/>
      <c r="BE195" s="32"/>
      <c r="BF195" s="53"/>
      <c r="BG195" s="21" t="str">
        <f>IFERROR(VLOOKUP(April[[#This Row],[Drug Name9]],'Data Options'!$R$1:$S$100,2,FALSE), " ")</f>
        <v xml:space="preserve"> </v>
      </c>
      <c r="BH195" s="32"/>
      <c r="BI195" s="32"/>
    </row>
    <row r="196" spans="1:61">
      <c r="A196" s="5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53"/>
      <c r="Q196" s="21" t="str">
        <f>IFERROR(VLOOKUP(April[[#This Row],[Drug Name]],'Data Options'!$R$1:$S$100,2,FALSE), " ")</f>
        <v xml:space="preserve"> </v>
      </c>
      <c r="R196" s="32"/>
      <c r="S196" s="32"/>
      <c r="T196" s="53"/>
      <c r="U196" s="21" t="str">
        <f>IFERROR(VLOOKUP(April[[#This Row],[Drug Name2]],'Data Options'!$R$1:$S$100,2,FALSE), " ")</f>
        <v xml:space="preserve"> </v>
      </c>
      <c r="V196" s="32"/>
      <c r="W196" s="32"/>
      <c r="X196" s="53"/>
      <c r="Y196" s="21" t="str">
        <f>IFERROR(VLOOKUP(April[[#This Row],[Drug Name3]],'Data Options'!$R$1:$S$100,2,FALSE), " ")</f>
        <v xml:space="preserve"> </v>
      </c>
      <c r="Z196" s="32"/>
      <c r="AA196" s="32"/>
      <c r="AB196" s="32"/>
      <c r="AC196" s="32"/>
      <c r="AD196" s="32"/>
      <c r="AE196" s="31"/>
      <c r="AF196" s="31"/>
      <c r="AG196" s="53"/>
      <c r="AH196" s="21" t="str">
        <f>IFERROR(VLOOKUP(April[[#This Row],[Drug Name4]],'Data Options'!$R$1:$S$100,2,FALSE), " ")</f>
        <v xml:space="preserve"> </v>
      </c>
      <c r="AI196" s="32"/>
      <c r="AJ196" s="32"/>
      <c r="AK196" s="53"/>
      <c r="AL196" s="21" t="str">
        <f>IFERROR(VLOOKUP(April[[#This Row],[Drug Name5]],'Data Options'!$R$1:$S$100,2,FALSE), " ")</f>
        <v xml:space="preserve"> </v>
      </c>
      <c r="AM196" s="32"/>
      <c r="AN196" s="32"/>
      <c r="AO196" s="53"/>
      <c r="AP196" s="21" t="str">
        <f>IFERROR(VLOOKUP(April[[#This Row],[Drug Name6]],'Data Options'!$R$1:$S$100,2,FALSE), " ")</f>
        <v xml:space="preserve"> </v>
      </c>
      <c r="AQ196" s="32"/>
      <c r="AR196" s="32"/>
      <c r="AS196" s="32"/>
      <c r="AT196" s="32"/>
      <c r="AU196" s="32"/>
      <c r="AV196" s="31"/>
      <c r="AW196" s="31"/>
      <c r="AX196" s="53"/>
      <c r="AY196" s="21" t="str">
        <f>IFERROR(VLOOKUP(April[[#This Row],[Drug Name7]],'Data Options'!$R$1:$S$100,2,FALSE), " ")</f>
        <v xml:space="preserve"> </v>
      </c>
      <c r="AZ196" s="32"/>
      <c r="BA196" s="32"/>
      <c r="BB196" s="53"/>
      <c r="BC196" s="21" t="str">
        <f>IFERROR(VLOOKUP(April[[#This Row],[Drug Name8]],'Data Options'!$R$1:$S$100,2,FALSE), " ")</f>
        <v xml:space="preserve"> </v>
      </c>
      <c r="BD196" s="32"/>
      <c r="BE196" s="32"/>
      <c r="BF196" s="53"/>
      <c r="BG196" s="21" t="str">
        <f>IFERROR(VLOOKUP(April[[#This Row],[Drug Name9]],'Data Options'!$R$1:$S$100,2,FALSE), " ")</f>
        <v xml:space="preserve"> </v>
      </c>
      <c r="BH196" s="32"/>
      <c r="BI196" s="32"/>
    </row>
    <row r="197" spans="1:61">
      <c r="A197" s="5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53"/>
      <c r="Q197" s="21" t="str">
        <f>IFERROR(VLOOKUP(April[[#This Row],[Drug Name]],'Data Options'!$R$1:$S$100,2,FALSE), " ")</f>
        <v xml:space="preserve"> </v>
      </c>
      <c r="R197" s="32"/>
      <c r="S197" s="32"/>
      <c r="T197" s="53"/>
      <c r="U197" s="21" t="str">
        <f>IFERROR(VLOOKUP(April[[#This Row],[Drug Name2]],'Data Options'!$R$1:$S$100,2,FALSE), " ")</f>
        <v xml:space="preserve"> </v>
      </c>
      <c r="V197" s="32"/>
      <c r="W197" s="32"/>
      <c r="X197" s="53"/>
      <c r="Y197" s="21" t="str">
        <f>IFERROR(VLOOKUP(April[[#This Row],[Drug Name3]],'Data Options'!$R$1:$S$100,2,FALSE), " ")</f>
        <v xml:space="preserve"> </v>
      </c>
      <c r="Z197" s="32"/>
      <c r="AA197" s="32"/>
      <c r="AB197" s="32"/>
      <c r="AC197" s="32"/>
      <c r="AD197" s="32"/>
      <c r="AE197" s="31"/>
      <c r="AF197" s="31"/>
      <c r="AG197" s="53"/>
      <c r="AH197" s="21" t="str">
        <f>IFERROR(VLOOKUP(April[[#This Row],[Drug Name4]],'Data Options'!$R$1:$S$100,2,FALSE), " ")</f>
        <v xml:space="preserve"> </v>
      </c>
      <c r="AI197" s="32"/>
      <c r="AJ197" s="32"/>
      <c r="AK197" s="53"/>
      <c r="AL197" s="21" t="str">
        <f>IFERROR(VLOOKUP(April[[#This Row],[Drug Name5]],'Data Options'!$R$1:$S$100,2,FALSE), " ")</f>
        <v xml:space="preserve"> </v>
      </c>
      <c r="AM197" s="32"/>
      <c r="AN197" s="32"/>
      <c r="AO197" s="53"/>
      <c r="AP197" s="21" t="str">
        <f>IFERROR(VLOOKUP(April[[#This Row],[Drug Name6]],'Data Options'!$R$1:$S$100,2,FALSE), " ")</f>
        <v xml:space="preserve"> </v>
      </c>
      <c r="AQ197" s="32"/>
      <c r="AR197" s="32"/>
      <c r="AS197" s="32"/>
      <c r="AT197" s="32"/>
      <c r="AU197" s="32"/>
      <c r="AV197" s="31"/>
      <c r="AW197" s="31"/>
      <c r="AX197" s="53"/>
      <c r="AY197" s="21" t="str">
        <f>IFERROR(VLOOKUP(April[[#This Row],[Drug Name7]],'Data Options'!$R$1:$S$100,2,FALSE), " ")</f>
        <v xml:space="preserve"> </v>
      </c>
      <c r="AZ197" s="32"/>
      <c r="BA197" s="32"/>
      <c r="BB197" s="53"/>
      <c r="BC197" s="21" t="str">
        <f>IFERROR(VLOOKUP(April[[#This Row],[Drug Name8]],'Data Options'!$R$1:$S$100,2,FALSE), " ")</f>
        <v xml:space="preserve"> </v>
      </c>
      <c r="BD197" s="32"/>
      <c r="BE197" s="32"/>
      <c r="BF197" s="53"/>
      <c r="BG197" s="21" t="str">
        <f>IFERROR(VLOOKUP(April[[#This Row],[Drug Name9]],'Data Options'!$R$1:$S$100,2,FALSE), " ")</f>
        <v xml:space="preserve"> </v>
      </c>
      <c r="BH197" s="32"/>
      <c r="BI197" s="32"/>
    </row>
    <row r="198" spans="1:61">
      <c r="A198" s="5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53"/>
      <c r="Q198" s="21" t="str">
        <f>IFERROR(VLOOKUP(April[[#This Row],[Drug Name]],'Data Options'!$R$1:$S$100,2,FALSE), " ")</f>
        <v xml:space="preserve"> </v>
      </c>
      <c r="R198" s="32"/>
      <c r="S198" s="32"/>
      <c r="T198" s="53"/>
      <c r="U198" s="21" t="str">
        <f>IFERROR(VLOOKUP(April[[#This Row],[Drug Name2]],'Data Options'!$R$1:$S$100,2,FALSE), " ")</f>
        <v xml:space="preserve"> </v>
      </c>
      <c r="V198" s="32"/>
      <c r="W198" s="32"/>
      <c r="X198" s="53"/>
      <c r="Y198" s="21" t="str">
        <f>IFERROR(VLOOKUP(April[[#This Row],[Drug Name3]],'Data Options'!$R$1:$S$100,2,FALSE), " ")</f>
        <v xml:space="preserve"> </v>
      </c>
      <c r="Z198" s="32"/>
      <c r="AA198" s="32"/>
      <c r="AB198" s="32"/>
      <c r="AC198" s="32"/>
      <c r="AD198" s="32"/>
      <c r="AE198" s="31"/>
      <c r="AF198" s="31"/>
      <c r="AG198" s="53"/>
      <c r="AH198" s="21" t="str">
        <f>IFERROR(VLOOKUP(April[[#This Row],[Drug Name4]],'Data Options'!$R$1:$S$100,2,FALSE), " ")</f>
        <v xml:space="preserve"> </v>
      </c>
      <c r="AI198" s="32"/>
      <c r="AJ198" s="32"/>
      <c r="AK198" s="53"/>
      <c r="AL198" s="21" t="str">
        <f>IFERROR(VLOOKUP(April[[#This Row],[Drug Name5]],'Data Options'!$R$1:$S$100,2,FALSE), " ")</f>
        <v xml:space="preserve"> </v>
      </c>
      <c r="AM198" s="32"/>
      <c r="AN198" s="32"/>
      <c r="AO198" s="53"/>
      <c r="AP198" s="21" t="str">
        <f>IFERROR(VLOOKUP(April[[#This Row],[Drug Name6]],'Data Options'!$R$1:$S$100,2,FALSE), " ")</f>
        <v xml:space="preserve"> </v>
      </c>
      <c r="AQ198" s="32"/>
      <c r="AR198" s="32"/>
      <c r="AS198" s="32"/>
      <c r="AT198" s="32"/>
      <c r="AU198" s="32"/>
      <c r="AV198" s="31"/>
      <c r="AW198" s="31"/>
      <c r="AX198" s="53"/>
      <c r="AY198" s="21" t="str">
        <f>IFERROR(VLOOKUP(April[[#This Row],[Drug Name7]],'Data Options'!$R$1:$S$100,2,FALSE), " ")</f>
        <v xml:space="preserve"> </v>
      </c>
      <c r="AZ198" s="32"/>
      <c r="BA198" s="32"/>
      <c r="BB198" s="53"/>
      <c r="BC198" s="21" t="str">
        <f>IFERROR(VLOOKUP(April[[#This Row],[Drug Name8]],'Data Options'!$R$1:$S$100,2,FALSE), " ")</f>
        <v xml:space="preserve"> </v>
      </c>
      <c r="BD198" s="32"/>
      <c r="BE198" s="32"/>
      <c r="BF198" s="53"/>
      <c r="BG198" s="21" t="str">
        <f>IFERROR(VLOOKUP(April[[#This Row],[Drug Name9]],'Data Options'!$R$1:$S$100,2,FALSE), " ")</f>
        <v xml:space="preserve"> </v>
      </c>
      <c r="BH198" s="32"/>
      <c r="BI198" s="32"/>
    </row>
    <row r="199" spans="1:61">
      <c r="A199" s="5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53"/>
      <c r="Q199" s="21" t="str">
        <f>IFERROR(VLOOKUP(April[[#This Row],[Drug Name]],'Data Options'!$R$1:$S$100,2,FALSE), " ")</f>
        <v xml:space="preserve"> </v>
      </c>
      <c r="R199" s="32"/>
      <c r="S199" s="32"/>
      <c r="T199" s="53"/>
      <c r="U199" s="21" t="str">
        <f>IFERROR(VLOOKUP(April[[#This Row],[Drug Name2]],'Data Options'!$R$1:$S$100,2,FALSE), " ")</f>
        <v xml:space="preserve"> </v>
      </c>
      <c r="V199" s="32"/>
      <c r="W199" s="32"/>
      <c r="X199" s="53"/>
      <c r="Y199" s="21" t="str">
        <f>IFERROR(VLOOKUP(April[[#This Row],[Drug Name3]],'Data Options'!$R$1:$S$100,2,FALSE), " ")</f>
        <v xml:space="preserve"> </v>
      </c>
      <c r="Z199" s="32"/>
      <c r="AA199" s="32"/>
      <c r="AB199" s="32"/>
      <c r="AC199" s="32"/>
      <c r="AD199" s="32"/>
      <c r="AE199" s="31"/>
      <c r="AF199" s="31"/>
      <c r="AG199" s="53"/>
      <c r="AH199" s="21" t="str">
        <f>IFERROR(VLOOKUP(April[[#This Row],[Drug Name4]],'Data Options'!$R$1:$S$100,2,FALSE), " ")</f>
        <v xml:space="preserve"> </v>
      </c>
      <c r="AI199" s="32"/>
      <c r="AJ199" s="32"/>
      <c r="AK199" s="53"/>
      <c r="AL199" s="21" t="str">
        <f>IFERROR(VLOOKUP(April[[#This Row],[Drug Name5]],'Data Options'!$R$1:$S$100,2,FALSE), " ")</f>
        <v xml:space="preserve"> </v>
      </c>
      <c r="AM199" s="32"/>
      <c r="AN199" s="32"/>
      <c r="AO199" s="53"/>
      <c r="AP199" s="21" t="str">
        <f>IFERROR(VLOOKUP(April[[#This Row],[Drug Name6]],'Data Options'!$R$1:$S$100,2,FALSE), " ")</f>
        <v xml:space="preserve"> </v>
      </c>
      <c r="AQ199" s="32"/>
      <c r="AR199" s="32"/>
      <c r="AS199" s="32"/>
      <c r="AT199" s="32"/>
      <c r="AU199" s="32"/>
      <c r="AV199" s="31"/>
      <c r="AW199" s="31"/>
      <c r="AX199" s="53"/>
      <c r="AY199" s="21" t="str">
        <f>IFERROR(VLOOKUP(April[[#This Row],[Drug Name7]],'Data Options'!$R$1:$S$100,2,FALSE), " ")</f>
        <v xml:space="preserve"> </v>
      </c>
      <c r="AZ199" s="32"/>
      <c r="BA199" s="32"/>
      <c r="BB199" s="53"/>
      <c r="BC199" s="21" t="str">
        <f>IFERROR(VLOOKUP(April[[#This Row],[Drug Name8]],'Data Options'!$R$1:$S$100,2,FALSE), " ")</f>
        <v xml:space="preserve"> </v>
      </c>
      <c r="BD199" s="32"/>
      <c r="BE199" s="32"/>
      <c r="BF199" s="53"/>
      <c r="BG199" s="21" t="str">
        <f>IFERROR(VLOOKUP(April[[#This Row],[Drug Name9]],'Data Options'!$R$1:$S$100,2,FALSE), " ")</f>
        <v xml:space="preserve"> </v>
      </c>
      <c r="BH199" s="32"/>
      <c r="BI199" s="32"/>
    </row>
    <row r="200" spans="1:61">
      <c r="A200" s="5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53"/>
      <c r="Q200" s="21" t="str">
        <f>IFERROR(VLOOKUP(April[[#This Row],[Drug Name]],'Data Options'!$R$1:$S$100,2,FALSE), " ")</f>
        <v xml:space="preserve"> </v>
      </c>
      <c r="R200" s="32"/>
      <c r="S200" s="32"/>
      <c r="T200" s="53"/>
      <c r="U200" s="21" t="str">
        <f>IFERROR(VLOOKUP(April[[#This Row],[Drug Name2]],'Data Options'!$R$1:$S$100,2,FALSE), " ")</f>
        <v xml:space="preserve"> </v>
      </c>
      <c r="V200" s="32"/>
      <c r="W200" s="32"/>
      <c r="X200" s="53"/>
      <c r="Y200" s="21" t="str">
        <f>IFERROR(VLOOKUP(April[[#This Row],[Drug Name3]],'Data Options'!$R$1:$S$100,2,FALSE), " ")</f>
        <v xml:space="preserve"> </v>
      </c>
      <c r="Z200" s="32"/>
      <c r="AA200" s="32"/>
      <c r="AB200" s="32"/>
      <c r="AC200" s="32"/>
      <c r="AD200" s="32"/>
      <c r="AE200" s="31"/>
      <c r="AF200" s="31"/>
      <c r="AG200" s="53"/>
      <c r="AH200" s="21" t="str">
        <f>IFERROR(VLOOKUP(April[[#This Row],[Drug Name4]],'Data Options'!$R$1:$S$100,2,FALSE), " ")</f>
        <v xml:space="preserve"> </v>
      </c>
      <c r="AI200" s="32"/>
      <c r="AJ200" s="32"/>
      <c r="AK200" s="53"/>
      <c r="AL200" s="21" t="str">
        <f>IFERROR(VLOOKUP(April[[#This Row],[Drug Name5]],'Data Options'!$R$1:$S$100,2,FALSE), " ")</f>
        <v xml:space="preserve"> </v>
      </c>
      <c r="AM200" s="32"/>
      <c r="AN200" s="32"/>
      <c r="AO200" s="53"/>
      <c r="AP200" s="21" t="str">
        <f>IFERROR(VLOOKUP(April[[#This Row],[Drug Name6]],'Data Options'!$R$1:$S$100,2,FALSE), " ")</f>
        <v xml:space="preserve"> </v>
      </c>
      <c r="AQ200" s="32"/>
      <c r="AR200" s="32"/>
      <c r="AS200" s="32"/>
      <c r="AT200" s="32"/>
      <c r="AU200" s="32"/>
      <c r="AV200" s="31"/>
      <c r="AW200" s="31"/>
      <c r="AX200" s="53"/>
      <c r="AY200" s="21" t="str">
        <f>IFERROR(VLOOKUP(April[[#This Row],[Drug Name7]],'Data Options'!$R$1:$S$100,2,FALSE), " ")</f>
        <v xml:space="preserve"> </v>
      </c>
      <c r="AZ200" s="32"/>
      <c r="BA200" s="32"/>
      <c r="BB200" s="53"/>
      <c r="BC200" s="21" t="str">
        <f>IFERROR(VLOOKUP(April[[#This Row],[Drug Name8]],'Data Options'!$R$1:$S$100,2,FALSE), " ")</f>
        <v xml:space="preserve"> </v>
      </c>
      <c r="BD200" s="32"/>
      <c r="BE200" s="32"/>
      <c r="BF200" s="53"/>
      <c r="BG200" s="21" t="str">
        <f>IFERROR(VLOOKUP(April[[#This Row],[Drug Name9]],'Data Options'!$R$1:$S$100,2,FALSE), " ")</f>
        <v xml:space="preserve"> </v>
      </c>
      <c r="BH200" s="32"/>
      <c r="BI200" s="32"/>
    </row>
    <row r="201" spans="1:61">
      <c r="A201" s="5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53"/>
      <c r="Q201" s="21" t="str">
        <f>IFERROR(VLOOKUP(April[[#This Row],[Drug Name]],'Data Options'!$R$1:$S$100,2,FALSE), " ")</f>
        <v xml:space="preserve"> </v>
      </c>
      <c r="R201" s="32"/>
      <c r="S201" s="32"/>
      <c r="T201" s="53"/>
      <c r="U201" s="21" t="str">
        <f>IFERROR(VLOOKUP(April[[#This Row],[Drug Name2]],'Data Options'!$R$1:$S$100,2,FALSE), " ")</f>
        <v xml:space="preserve"> </v>
      </c>
      <c r="V201" s="32"/>
      <c r="W201" s="32"/>
      <c r="X201" s="53"/>
      <c r="Y201" s="21" t="str">
        <f>IFERROR(VLOOKUP(April[[#This Row],[Drug Name3]],'Data Options'!$R$1:$S$100,2,FALSE), " ")</f>
        <v xml:space="preserve"> </v>
      </c>
      <c r="Z201" s="32"/>
      <c r="AA201" s="32"/>
      <c r="AB201" s="32"/>
      <c r="AC201" s="32"/>
      <c r="AD201" s="32"/>
      <c r="AE201" s="31"/>
      <c r="AF201" s="31"/>
      <c r="AG201" s="53"/>
      <c r="AH201" s="21" t="str">
        <f>IFERROR(VLOOKUP(April[[#This Row],[Drug Name4]],'Data Options'!$R$1:$S$100,2,FALSE), " ")</f>
        <v xml:space="preserve"> </v>
      </c>
      <c r="AI201" s="32"/>
      <c r="AJ201" s="32"/>
      <c r="AK201" s="53"/>
      <c r="AL201" s="21" t="str">
        <f>IFERROR(VLOOKUP(April[[#This Row],[Drug Name5]],'Data Options'!$R$1:$S$100,2,FALSE), " ")</f>
        <v xml:space="preserve"> </v>
      </c>
      <c r="AM201" s="32"/>
      <c r="AN201" s="32"/>
      <c r="AO201" s="53"/>
      <c r="AP201" s="21" t="str">
        <f>IFERROR(VLOOKUP(April[[#This Row],[Drug Name6]],'Data Options'!$R$1:$S$100,2,FALSE), " ")</f>
        <v xml:space="preserve"> </v>
      </c>
      <c r="AQ201" s="32"/>
      <c r="AR201" s="32"/>
      <c r="AS201" s="32"/>
      <c r="AT201" s="32"/>
      <c r="AU201" s="32"/>
      <c r="AV201" s="31"/>
      <c r="AW201" s="31"/>
      <c r="AX201" s="53"/>
      <c r="AY201" s="21" t="str">
        <f>IFERROR(VLOOKUP(April[[#This Row],[Drug Name7]],'Data Options'!$R$1:$S$100,2,FALSE), " ")</f>
        <v xml:space="preserve"> </v>
      </c>
      <c r="AZ201" s="32"/>
      <c r="BA201" s="32"/>
      <c r="BB201" s="53"/>
      <c r="BC201" s="21" t="str">
        <f>IFERROR(VLOOKUP(April[[#This Row],[Drug Name8]],'Data Options'!$R$1:$S$100,2,FALSE), " ")</f>
        <v xml:space="preserve"> </v>
      </c>
      <c r="BD201" s="32"/>
      <c r="BE201" s="32"/>
      <c r="BF201" s="53"/>
      <c r="BG201" s="21" t="str">
        <f>IFERROR(VLOOKUP(April[[#This Row],[Drug Name9]],'Data Options'!$R$1:$S$100,2,FALSE), " ")</f>
        <v xml:space="preserve"> </v>
      </c>
      <c r="BH201" s="32"/>
      <c r="BI201" s="32"/>
    </row>
    <row r="202" spans="1:61">
      <c r="A202" s="24" t="s">
        <v>212</v>
      </c>
      <c r="T202" s="53"/>
      <c r="V202" s="32"/>
      <c r="W202" s="32"/>
      <c r="X202" s="53"/>
      <c r="Z202" s="32"/>
      <c r="AA202" s="32"/>
      <c r="AB202" s="32"/>
      <c r="AD202" s="32"/>
      <c r="AE202" s="31"/>
      <c r="AF202" s="31"/>
      <c r="AG202" s="53"/>
      <c r="AI202" s="32"/>
      <c r="AJ202" s="32"/>
      <c r="AK202" s="53"/>
      <c r="AM202" s="32"/>
      <c r="AN202" s="32"/>
      <c r="AO202" s="53"/>
      <c r="AQ202" s="32"/>
      <c r="AR202" s="32"/>
      <c r="AS202" s="32"/>
      <c r="AU202" s="32"/>
      <c r="AV202" s="31"/>
      <c r="AW202" s="31"/>
      <c r="AX202" s="53"/>
      <c r="AZ202" s="32"/>
      <c r="BA202" s="32"/>
      <c r="BB202" s="53"/>
      <c r="BD202" s="32"/>
      <c r="BE202" s="32"/>
      <c r="BF202" s="53"/>
      <c r="BH202" s="32"/>
      <c r="BI202" s="32"/>
    </row>
  </sheetData>
  <sheetProtection algorithmName="SHA-512" hashValue="bfY1/yqwiBcjCxj+ScwiptkGiKacwKhr80fmdmvK+VpnzWA8wMcOufEzd7lofhfgtPMfIxoHWJNS9WbIfGix6w==" saltValue="OytZnwO9u6lXudMcyVIH2g==" spinCount="100000" sheet="1" objects="1" scenarios="1"/>
  <mergeCells count="13">
    <mergeCell ref="AG2:AJ2"/>
    <mergeCell ref="AX2:BA2"/>
    <mergeCell ref="BB2:BE2"/>
    <mergeCell ref="BF2:BI2"/>
    <mergeCell ref="AB1:AF2"/>
    <mergeCell ref="AS1:AW2"/>
    <mergeCell ref="AO2:AR2"/>
    <mergeCell ref="A1:J2"/>
    <mergeCell ref="K1:Y1"/>
    <mergeCell ref="K2:O2"/>
    <mergeCell ref="P2:S2"/>
    <mergeCell ref="T2:W2"/>
    <mergeCell ref="X2:AA2"/>
  </mergeCells>
  <phoneticPr fontId="5" type="noConversion"/>
  <dataValidations count="16">
    <dataValidation type="list" allowBlank="1" showInputMessage="1" showErrorMessage="1" sqref="D4:D201">
      <formula1>INDIRECT("Species")</formula1>
    </dataValidation>
    <dataValidation type="list" allowBlank="1" showInputMessage="1" showErrorMessage="1" sqref="E4:E201">
      <formula1>INDIRECT("Sex")</formula1>
    </dataValidation>
    <dataValidation type="list" allowBlank="1" showInputMessage="1" showErrorMessage="1" sqref="F4:F201">
      <formula1>INDIRECT("Age")</formula1>
    </dataValidation>
    <dataValidation type="list" allowBlank="1" showInputMessage="1" showErrorMessage="1" sqref="G4:G201">
      <formula1>INDIRECT("Visit_Reason")</formula1>
    </dataValidation>
    <dataValidation type="list" allowBlank="1" showInputMessage="1" showErrorMessage="1" sqref="I4:I201">
      <formula1>INDIRECT("ABX_YN")</formula1>
    </dataValidation>
    <dataValidation type="list" allowBlank="1" showInputMessage="1" showErrorMessage="1" sqref="K4:K201 AB4:AB201 AS4:AS201">
      <formula1>INDIRECT("Disease_Type")</formula1>
    </dataValidation>
    <dataValidation type="list" allowBlank="1" showInputMessage="1" showErrorMessage="1" sqref="M4:M201 AD4:AD201 AU4:AU201">
      <formula1>INDIRECT("Dz_Abx_Num")</formula1>
    </dataValidation>
    <dataValidation type="list" allowBlank="1" showInputMessage="1" showErrorMessage="1" sqref="N4:N201 AE4:AE201 AV4:AV201">
      <formula1>INDIRECT("Diagnostics_Offer_YN")</formula1>
    </dataValidation>
    <dataValidation type="list" allowBlank="1" showInputMessage="1" showErrorMessage="1" sqref="O4:O201 AF4:AF201 AW4:AW201">
      <formula1>INDIRECT("Diagnostics_Performed_YN")</formula1>
    </dataValidation>
    <dataValidation type="list" allowBlank="1" showInputMessage="1" showErrorMessage="1" sqref="P4:P201 T4:T201 X4:X201 AG4:AG201 AK4:AK201 AO4:AO201 AX4:AX201 BB4:BB201 BF4:BF201">
      <formula1>INDIRECT("Drug_Name")</formula1>
    </dataValidation>
    <dataValidation type="list" allowBlank="1" showInputMessage="1" showErrorMessage="1" sqref="R4:R201 V4:V201 Z4:Z201 AI4:AI201 AM4:AM201 AQ4:AQ201 AZ4:AZ201 BD4:BD201 BH4:BH201">
      <formula1>INDIRECT("Abx_Freq")</formula1>
    </dataValidation>
    <dataValidation type="list" allowBlank="1" showInputMessage="1" showErrorMessage="1" sqref="S4:S201 W4:W201 AA4:AA201 AJ4:AJ201 AN4:AN201 AR4:AR201 BA4:BA201 BE4:BE201 BI4:BI201">
      <formula1>INDIRECT("Abx_Route")</formula1>
    </dataValidation>
    <dataValidation allowBlank="1" showInputMessage="1" showErrorMessage="1" prompt="Only type here IF Reason for Visit is Other " sqref="H5:H201"/>
    <dataValidation type="whole" allowBlank="1" showInputMessage="1" showErrorMessage="1" promptTitle="Total Number of Antibiotics" prompt="This should include ALL antibiotics prescribed to this patient during this visit for ALL conditions. " sqref="J4:J201">
      <formula1>0</formula1>
      <formula2>9</formula2>
    </dataValidation>
    <dataValidation allowBlank="1" showInputMessage="1" showErrorMessage="1" prompt="Only type in this column IF Disease/Infection Type is Other" sqref="L4:L201 AC4:AC201 AT4:AT201"/>
    <dataValidation allowBlank="1" showInputMessage="1" showErrorMessage="1" prompt="Only type in this column IF Reason for Visit is Other " sqref="H4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Background</vt:lpstr>
      <vt:lpstr>Dataset Dictionary</vt:lpstr>
      <vt:lpstr>Total Patients</vt:lpstr>
      <vt:lpstr>Summary Tables</vt:lpstr>
      <vt:lpstr>Calculations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Data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McNamee</dc:creator>
  <cp:lastModifiedBy>Emma Leof</cp:lastModifiedBy>
  <dcterms:created xsi:type="dcterms:W3CDTF">2020-03-09T15:06:37Z</dcterms:created>
  <dcterms:modified xsi:type="dcterms:W3CDTF">2020-06-17T16:08:47Z</dcterms:modified>
</cp:coreProperties>
</file>